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xploreindustries-my.sharepoint.com/personal/loretta_serong_exploreindustries_com/Documents/Insnrg site/5. Hi Heat Pump/"/>
    </mc:Choice>
  </mc:AlternateContent>
  <xr:revisionPtr revIDLastSave="9" documentId="13_ncr:1_{EB2194D1-87DB-4A50-A7B1-CC165ED00DD8}" xr6:coauthVersionLast="47" xr6:coauthVersionMax="47" xr10:uidLastSave="{2B409E10-F2CD-4CC5-B91B-DA254E2A4B84}"/>
  <workbookProtection workbookAlgorithmName="SHA-512" workbookHashValue="agsChaigwC2af2mMi3zbM59KEDSIbtmVAEaDi7uJ4NelQaCRrjCnLi/hNlvPuOaYJVHEM1TKPrzOAMrNpfjgzg==" workbookSaltValue="SrqO0zslmvIh1dl1vHZ2ng==" workbookSpinCount="100000" lockStructure="1"/>
  <bookViews>
    <workbookView xWindow="-28920" yWindow="-120" windowWidth="29040" windowHeight="15720" xr2:uid="{99902D91-0718-45CE-B021-D292DEC9394C}"/>
  </bookViews>
  <sheets>
    <sheet name="Sheet1" sheetId="1" r:id="rId1"/>
    <sheet name="Sheet2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55" i="1" l="1"/>
  <c r="X156" i="1" s="1"/>
  <c r="X157" i="1" s="1"/>
  <c r="X158" i="1" s="1"/>
  <c r="X159" i="1" s="1"/>
  <c r="D12" i="2" l="1"/>
  <c r="E12" i="2"/>
  <c r="C12" i="2"/>
  <c r="B12" i="2"/>
  <c r="G12" i="2"/>
  <c r="F12" i="2"/>
  <c r="N7" i="2" l="1"/>
  <c r="N8" i="2"/>
  <c r="N9" i="2"/>
  <c r="N10" i="2"/>
  <c r="N11" i="2"/>
  <c r="N6" i="2"/>
  <c r="H37" i="2" l="1"/>
  <c r="G37" i="2"/>
  <c r="G36" i="2"/>
  <c r="H36" i="2"/>
  <c r="I36" i="2"/>
  <c r="J36" i="2"/>
  <c r="F36" i="2"/>
  <c r="G35" i="2"/>
  <c r="H35" i="2"/>
  <c r="I35" i="2"/>
  <c r="J35" i="2"/>
  <c r="K35" i="2"/>
  <c r="F35" i="2"/>
  <c r="G33" i="2"/>
  <c r="H33" i="2"/>
  <c r="I33" i="2"/>
  <c r="F33" i="2"/>
  <c r="E34" i="2"/>
  <c r="F34" i="2"/>
  <c r="G34" i="2"/>
  <c r="H34" i="2"/>
  <c r="I34" i="2"/>
  <c r="J34" i="2"/>
  <c r="K34" i="2"/>
  <c r="L34" i="2"/>
  <c r="D34" i="2"/>
  <c r="C4" i="2"/>
  <c r="D4" i="2"/>
  <c r="E4" i="2"/>
  <c r="F4" i="2"/>
  <c r="G4" i="2"/>
  <c r="H4" i="2"/>
  <c r="I4" i="2"/>
  <c r="J4" i="2"/>
  <c r="K4" i="2"/>
  <c r="L4" i="2"/>
  <c r="M4" i="2"/>
  <c r="B4" i="2"/>
  <c r="K12" i="2"/>
  <c r="J12" i="2"/>
  <c r="I12" i="2"/>
  <c r="H12" i="2"/>
  <c r="M37" i="2" l="1"/>
  <c r="L37" i="2"/>
  <c r="K37" i="2"/>
  <c r="E37" i="2"/>
  <c r="D37" i="2"/>
  <c r="C37" i="2"/>
  <c r="B37" i="2"/>
  <c r="M33" i="2"/>
  <c r="L33" i="2"/>
  <c r="D33" i="2"/>
  <c r="C33" i="2"/>
  <c r="B33" i="2"/>
  <c r="M20" i="2"/>
  <c r="L20" i="2"/>
  <c r="K20" i="2"/>
  <c r="E20" i="2"/>
  <c r="D20" i="2"/>
  <c r="C20" i="2"/>
  <c r="B20" i="2"/>
  <c r="A19" i="2"/>
  <c r="A18" i="2"/>
  <c r="A17" i="2"/>
  <c r="M16" i="2"/>
  <c r="L16" i="2"/>
  <c r="D16" i="2"/>
  <c r="C16" i="2"/>
  <c r="B16" i="2"/>
  <c r="A16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13" i="2"/>
  <c r="H2" i="2"/>
  <c r="M11" i="2"/>
  <c r="M12" i="2" s="1"/>
  <c r="L11" i="2"/>
  <c r="L12" i="2" s="1"/>
  <c r="K11" i="2"/>
  <c r="J11" i="2"/>
  <c r="I11" i="2"/>
  <c r="H11" i="2"/>
  <c r="G11" i="2"/>
  <c r="F11" i="2"/>
  <c r="E11" i="2"/>
  <c r="D11" i="2"/>
  <c r="C11" i="2"/>
  <c r="C2" i="2" s="1"/>
  <c r="B11" i="2"/>
  <c r="M23" i="2"/>
  <c r="K23" i="2"/>
  <c r="K25" i="2" s="1"/>
  <c r="J23" i="2"/>
  <c r="I23" i="2"/>
  <c r="H23" i="2"/>
  <c r="F23" i="2"/>
  <c r="F25" i="2" s="1"/>
  <c r="E23" i="2"/>
  <c r="C23" i="2"/>
  <c r="C25" i="2" s="1"/>
  <c r="B23" i="2"/>
  <c r="M1" i="2"/>
  <c r="L1" i="2"/>
  <c r="K1" i="2"/>
  <c r="J1" i="2"/>
  <c r="I1" i="2"/>
  <c r="H1" i="2"/>
  <c r="G1" i="2"/>
  <c r="F1" i="2"/>
  <c r="E1" i="2"/>
  <c r="D1" i="2"/>
  <c r="C1" i="2"/>
  <c r="B1" i="2"/>
  <c r="Q99" i="1"/>
  <c r="J43" i="1"/>
  <c r="J42" i="1"/>
  <c r="J41" i="1"/>
  <c r="K15" i="2" l="1"/>
  <c r="K32" i="2"/>
  <c r="F15" i="2"/>
  <c r="F32" i="2"/>
  <c r="P27" i="1"/>
  <c r="P29" i="1"/>
  <c r="B2" i="2"/>
  <c r="P32" i="1"/>
  <c r="P26" i="1"/>
  <c r="P71" i="1" s="1"/>
  <c r="P31" i="1"/>
  <c r="P30" i="1"/>
  <c r="P25" i="1"/>
  <c r="P70" i="1" s="1"/>
  <c r="P36" i="1"/>
  <c r="P28" i="1"/>
  <c r="P34" i="1"/>
  <c r="P33" i="1"/>
  <c r="P35" i="1"/>
  <c r="G2" i="2"/>
  <c r="D2" i="2"/>
  <c r="L2" i="2"/>
  <c r="K2" i="2"/>
  <c r="M2" i="2"/>
  <c r="F2" i="2"/>
  <c r="E2" i="2"/>
  <c r="H13" i="2"/>
  <c r="H25" i="2"/>
  <c r="F30" i="2"/>
  <c r="I25" i="2"/>
  <c r="I13" i="2"/>
  <c r="H30" i="2"/>
  <c r="H20" i="2" s="1"/>
  <c r="J25" i="2"/>
  <c r="J13" i="2"/>
  <c r="I30" i="2"/>
  <c r="C15" i="2"/>
  <c r="C32" i="2"/>
  <c r="K29" i="2"/>
  <c r="C29" i="2"/>
  <c r="G28" i="2"/>
  <c r="G18" i="2" s="1"/>
  <c r="K27" i="2"/>
  <c r="K17" i="2" s="1"/>
  <c r="C27" i="2"/>
  <c r="E26" i="2"/>
  <c r="G30" i="2"/>
  <c r="G20" i="2" s="1"/>
  <c r="K28" i="2"/>
  <c r="K18" i="2" s="1"/>
  <c r="J29" i="2"/>
  <c r="J19" i="2" s="1"/>
  <c r="B29" i="2"/>
  <c r="F28" i="2"/>
  <c r="F18" i="2" s="1"/>
  <c r="J27" i="2"/>
  <c r="J17" i="2" s="1"/>
  <c r="B27" i="2"/>
  <c r="G29" i="2"/>
  <c r="G19" i="2" s="1"/>
  <c r="I26" i="2"/>
  <c r="I16" i="2" s="1"/>
  <c r="I29" i="2"/>
  <c r="I19" i="2" s="1"/>
  <c r="M28" i="2"/>
  <c r="E28" i="2"/>
  <c r="I27" i="2"/>
  <c r="I17" i="2" s="1"/>
  <c r="K26" i="2"/>
  <c r="G27" i="2"/>
  <c r="G17" i="2" s="1"/>
  <c r="H29" i="2"/>
  <c r="H19" i="2" s="1"/>
  <c r="L28" i="2"/>
  <c r="D28" i="2"/>
  <c r="H27" i="2"/>
  <c r="H17" i="2" s="1"/>
  <c r="J26" i="2"/>
  <c r="C28" i="2"/>
  <c r="B25" i="2"/>
  <c r="F29" i="2"/>
  <c r="F19" i="2" s="1"/>
  <c r="J28" i="2"/>
  <c r="J18" i="2" s="1"/>
  <c r="B28" i="2"/>
  <c r="F27" i="2"/>
  <c r="F17" i="2" s="1"/>
  <c r="H26" i="2"/>
  <c r="H16" i="2" s="1"/>
  <c r="D29" i="2"/>
  <c r="L27" i="2"/>
  <c r="L17" i="2" s="1"/>
  <c r="M29" i="2"/>
  <c r="E29" i="2"/>
  <c r="I28" i="2"/>
  <c r="I18" i="2" s="1"/>
  <c r="M27" i="2"/>
  <c r="E27" i="2"/>
  <c r="E17" i="2" s="1"/>
  <c r="G26" i="2"/>
  <c r="G16" i="2" s="1"/>
  <c r="B13" i="2"/>
  <c r="L29" i="2"/>
  <c r="H28" i="2"/>
  <c r="H18" i="2" s="1"/>
  <c r="D27" i="2"/>
  <c r="D17" i="2" s="1"/>
  <c r="F26" i="2"/>
  <c r="F16" i="2" s="1"/>
  <c r="J30" i="2"/>
  <c r="E25" i="2"/>
  <c r="E32" i="2" s="1"/>
  <c r="E13" i="2"/>
  <c r="M25" i="2"/>
  <c r="M32" i="2" s="1"/>
  <c r="M13" i="2"/>
  <c r="I2" i="2"/>
  <c r="D23" i="2"/>
  <c r="L23" i="2"/>
  <c r="J2" i="2"/>
  <c r="C13" i="2"/>
  <c r="K13" i="2"/>
  <c r="G23" i="2"/>
  <c r="F13" i="2"/>
  <c r="G42" i="1" l="1"/>
  <c r="N41" i="1" s="1"/>
  <c r="P42" i="1" s="1"/>
  <c r="P99" i="1" s="1"/>
  <c r="P78" i="1"/>
  <c r="P92" i="1"/>
  <c r="P91" i="1"/>
  <c r="P77" i="1"/>
  <c r="P93" i="1"/>
  <c r="P79" i="1"/>
  <c r="P87" i="1"/>
  <c r="P73" i="1"/>
  <c r="Q29" i="1"/>
  <c r="Q74" i="1" s="1"/>
  <c r="P74" i="1"/>
  <c r="P88" i="1"/>
  <c r="P94" i="1"/>
  <c r="P80" i="1"/>
  <c r="P95" i="1"/>
  <c r="Q95" i="1" s="1"/>
  <c r="D57" i="2" s="1"/>
  <c r="P81" i="1"/>
  <c r="P86" i="1"/>
  <c r="P72" i="1"/>
  <c r="P84" i="1"/>
  <c r="P89" i="1"/>
  <c r="C51" i="2" s="1"/>
  <c r="P75" i="1"/>
  <c r="P76" i="1"/>
  <c r="P90" i="1"/>
  <c r="Q90" i="1" s="1"/>
  <c r="D52" i="2" s="1"/>
  <c r="P85" i="1"/>
  <c r="G38" i="2"/>
  <c r="J15" i="2"/>
  <c r="J32" i="2"/>
  <c r="H38" i="2"/>
  <c r="I15" i="2"/>
  <c r="I32" i="2"/>
  <c r="H15" i="2"/>
  <c r="H32" i="2"/>
  <c r="Q26" i="1"/>
  <c r="Q71" i="1" s="1"/>
  <c r="Q32" i="1"/>
  <c r="Q77" i="1" s="1"/>
  <c r="Q28" i="1"/>
  <c r="Q73" i="1" s="1"/>
  <c r="Q36" i="1"/>
  <c r="Q81" i="1" s="1"/>
  <c r="Q33" i="1"/>
  <c r="Q78" i="1" s="1"/>
  <c r="Q34" i="1"/>
  <c r="Q79" i="1" s="1"/>
  <c r="Q25" i="1"/>
  <c r="Q70" i="1" s="1"/>
  <c r="Q27" i="1"/>
  <c r="Q72" i="1" s="1"/>
  <c r="Q30" i="1"/>
  <c r="Q75" i="1" s="1"/>
  <c r="Q35" i="1"/>
  <c r="Q80" i="1" s="1"/>
  <c r="Q31" i="1"/>
  <c r="Q76" i="1" s="1"/>
  <c r="L36" i="2"/>
  <c r="L19" i="2"/>
  <c r="L38" i="2" s="1"/>
  <c r="C35" i="2"/>
  <c r="C18" i="2"/>
  <c r="M36" i="2"/>
  <c r="M19" i="2"/>
  <c r="B32" i="2"/>
  <c r="B15" i="2"/>
  <c r="K33" i="2"/>
  <c r="K16" i="2"/>
  <c r="M15" i="2"/>
  <c r="D36" i="2"/>
  <c r="D19" i="2"/>
  <c r="D38" i="2" s="1"/>
  <c r="J33" i="2"/>
  <c r="J16" i="2"/>
  <c r="E35" i="2"/>
  <c r="E18" i="2"/>
  <c r="B36" i="2"/>
  <c r="B19" i="2"/>
  <c r="C19" i="2"/>
  <c r="C36" i="2"/>
  <c r="D13" i="2"/>
  <c r="D25" i="2"/>
  <c r="D32" i="2" s="1"/>
  <c r="G13" i="2"/>
  <c r="G25" i="2"/>
  <c r="M35" i="2"/>
  <c r="M18" i="2"/>
  <c r="K36" i="2"/>
  <c r="K19" i="2"/>
  <c r="K38" i="2" s="1"/>
  <c r="E15" i="2"/>
  <c r="D35" i="2"/>
  <c r="D18" i="2"/>
  <c r="J37" i="2"/>
  <c r="J20" i="2"/>
  <c r="J38" i="2" s="1"/>
  <c r="M34" i="2"/>
  <c r="M17" i="2"/>
  <c r="B35" i="2"/>
  <c r="B18" i="2"/>
  <c r="L35" i="2"/>
  <c r="L18" i="2"/>
  <c r="F37" i="2"/>
  <c r="F20" i="2"/>
  <c r="F38" i="2" s="1"/>
  <c r="L13" i="2"/>
  <c r="L25" i="2"/>
  <c r="L32" i="2" s="1"/>
  <c r="E33" i="2"/>
  <c r="E16" i="2"/>
  <c r="I37" i="2"/>
  <c r="I20" i="2"/>
  <c r="I38" i="2" s="1"/>
  <c r="E36" i="2"/>
  <c r="E19" i="2"/>
  <c r="E38" i="2" s="1"/>
  <c r="B34" i="2"/>
  <c r="B17" i="2"/>
  <c r="B38" i="2" s="1"/>
  <c r="C17" i="2"/>
  <c r="C34" i="2"/>
  <c r="P98" i="1" l="1"/>
  <c r="M38" i="2"/>
  <c r="C38" i="2"/>
  <c r="G15" i="2"/>
  <c r="G32" i="2"/>
  <c r="Q89" i="1"/>
  <c r="D51" i="2" s="1"/>
  <c r="C57" i="2"/>
  <c r="C52" i="2"/>
  <c r="Q85" i="1"/>
  <c r="D47" i="2" s="1"/>
  <c r="C47" i="2"/>
  <c r="Q93" i="1"/>
  <c r="D55" i="2" s="1"/>
  <c r="C55" i="2"/>
  <c r="Q84" i="1"/>
  <c r="D46" i="2" s="1"/>
  <c r="C46" i="2"/>
  <c r="Q86" i="1"/>
  <c r="D48" i="2" s="1"/>
  <c r="C48" i="2"/>
  <c r="Q88" i="1"/>
  <c r="D50" i="2" s="1"/>
  <c r="C50" i="2"/>
  <c r="Q92" i="1"/>
  <c r="D54" i="2" s="1"/>
  <c r="C54" i="2"/>
  <c r="Q91" i="1"/>
  <c r="D53" i="2" s="1"/>
  <c r="C53" i="2"/>
  <c r="Q94" i="1"/>
  <c r="D56" i="2" s="1"/>
  <c r="C56" i="2"/>
  <c r="Q87" i="1"/>
  <c r="D49" i="2" s="1"/>
  <c r="C49" i="2"/>
  <c r="D15" i="2"/>
  <c r="L15" i="2"/>
</calcChain>
</file>

<file path=xl/sharedStrings.xml><?xml version="1.0" encoding="utf-8"?>
<sst xmlns="http://schemas.openxmlformats.org/spreadsheetml/2006/main" count="140" uniqueCount="78">
  <si>
    <t>Hi Full Inverter Heat Pump</t>
  </si>
  <si>
    <t>Selection Calculator</t>
  </si>
  <si>
    <t xml:space="preserve">Select (nearest) Location </t>
  </si>
  <si>
    <t>Melbourne</t>
  </si>
  <si>
    <t>What size is your pool?</t>
  </si>
  <si>
    <t>Metres</t>
  </si>
  <si>
    <t>Average Length</t>
  </si>
  <si>
    <t>Average Width</t>
  </si>
  <si>
    <t>Average Depth</t>
  </si>
  <si>
    <t>What temperature do you want?</t>
  </si>
  <si>
    <t>Without Cover</t>
  </si>
  <si>
    <t>Cover Used</t>
  </si>
  <si>
    <t>Spring to Autumn or All Year Round?</t>
  </si>
  <si>
    <t>kW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</si>
  <si>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</si>
  <si>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</si>
  <si>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</si>
  <si>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</si>
  <si>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</si>
  <si>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</si>
  <si>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</si>
  <si>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</si>
  <si>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</si>
  <si>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</si>
  <si>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</si>
  <si>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</si>
  <si>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Phase</t>
  </si>
  <si>
    <t>kw output cond'n 1</t>
  </si>
  <si>
    <t>kw output cond'n 2</t>
  </si>
  <si>
    <t>Model</t>
  </si>
  <si>
    <t>Single</t>
  </si>
  <si>
    <t>Recommended Heat Pump Model</t>
  </si>
  <si>
    <t>Three</t>
  </si>
  <si>
    <t>Energy Cost</t>
  </si>
  <si>
    <t>Enter Power Cost (cents per kW hour)</t>
  </si>
  <si>
    <t>degrees</t>
  </si>
  <si>
    <t>This sizing guide is indicative only.   Site Condtions, prevailing winds, and other factors can influence heat pump performance</t>
  </si>
  <si>
    <t xml:space="preserve"> and heat losses from pool.  If in doubt select a larger model heat pump.   </t>
  </si>
  <si>
    <t>The use of a thermal blanket may reduce operating costs by up to 50% however, as many pool owners leave the blanket off during</t>
  </si>
  <si>
    <t>the swimming season, these calculations assume that no blanket is used.</t>
  </si>
  <si>
    <t>Particular care should be taken when sizing for a commercial application - contact insnrg for detailed advice</t>
  </si>
  <si>
    <t>Selected Temperature</t>
  </si>
  <si>
    <t>City</t>
  </si>
  <si>
    <t>Adelaide</t>
  </si>
  <si>
    <t>Brisbane</t>
  </si>
  <si>
    <t>Perth</t>
  </si>
  <si>
    <t>Sydney</t>
  </si>
  <si>
    <t>Townsville</t>
  </si>
  <si>
    <t>Graph data</t>
  </si>
  <si>
    <t>Spring to Autumn</t>
  </si>
  <si>
    <t>Year Round Season</t>
  </si>
  <si>
    <t>Monthly Cost to Heat</t>
  </si>
  <si>
    <t>No Cover</t>
  </si>
  <si>
    <t>With Cover</t>
  </si>
  <si>
    <t>Notes: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</si>
  <si>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</si>
  <si>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</si>
  <si>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</si>
  <si>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</si>
  <si>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</si>
  <si>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</si>
  <si>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</si>
  <si>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</si>
  <si>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</si>
  <si>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</si>
  <si>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</si>
  <si>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</si>
  <si>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Hi 96 Single Phase</t>
  </si>
  <si>
    <t>Power Cost per kW/hr in cents</t>
  </si>
  <si>
    <t>****Avg. temp rise per hour at 26 degree ambient, 80% RH, 26 degree water</t>
  </si>
  <si>
    <t>****Ave temp rise per hour at 15 degree ambient, 63% RH, 26 degree Water</t>
  </si>
  <si>
    <t>All Year Round</t>
  </si>
  <si>
    <t>LC 140 T 3 Phase</t>
  </si>
  <si>
    <t>Hi 35 or LC 35 10 amp single phase</t>
  </si>
  <si>
    <t>Hi 55 or LC 55 15 amp single phase</t>
  </si>
  <si>
    <t>Hi 72 or LC 72 Single Phase</t>
  </si>
  <si>
    <t>Hi 85 Single Phase</t>
  </si>
  <si>
    <t>Hi 120T 3 Phase or LC 110 Single Phase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</si>
</sst>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.0_-;\-* #,##0.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color rgb="FF006C31"/>
      <name val="Arial"/>
      <family val="2"/>
    </font>
    <font>
      <b/>
      <sz val="10"/>
      <color indexed="30"/>
      <name val="Constantia"/>
      <family val="1"/>
    </font>
    <font>
      <b/>
      <sz val="10"/>
      <color rgb="FF48B3B6"/>
      <name val="Arial"/>
      <family val="2"/>
    </font>
    <font>
      <b/>
      <sz val="9"/>
      <color rgb="FF48B3B6"/>
      <name val="Arial"/>
      <family val="2"/>
    </font>
    <font>
      <b/>
      <sz val="8"/>
      <color rgb="FF48B3B6"/>
      <name val="Arial"/>
      <family val="2"/>
    </font>
    <font>
      <sz val="11"/>
      <color rgb="FF48B3B6"/>
      <name val="Calibri"/>
      <family val="2"/>
      <scheme val="minor"/>
    </font>
    <font>
      <sz val="8"/>
      <color rgb="FF48B3B6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9"/>
      </left>
      <right style="medium">
        <color indexed="9"/>
      </right>
      <top style="thick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vertical="center"/>
    </xf>
    <xf numFmtId="166" fontId="4" fillId="0" borderId="0" xfId="1" applyNumberFormat="1" applyFont="1" applyFill="1" applyBorder="1" applyProtection="1"/>
    <xf numFmtId="0" fontId="8" fillId="4" borderId="2" xfId="0" applyFont="1" applyFill="1" applyBorder="1" applyAlignment="1">
      <alignment vertical="top" wrapText="1"/>
    </xf>
    <xf numFmtId="0" fontId="6" fillId="0" borderId="0" xfId="0" applyFont="1"/>
    <xf numFmtId="0" fontId="0" fillId="2" borderId="0" xfId="0" applyFill="1"/>
    <xf numFmtId="0" fontId="8" fillId="4" borderId="3" xfId="0" applyFont="1" applyFill="1" applyBorder="1" applyAlignment="1">
      <alignment vertical="top" wrapText="1"/>
    </xf>
    <xf numFmtId="0" fontId="6" fillId="2" borderId="0" xfId="0" applyFont="1" applyFill="1"/>
    <xf numFmtId="0" fontId="0" fillId="5" borderId="0" xfId="0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6" fillId="2" borderId="9" xfId="0" applyFont="1" applyFill="1" applyBorder="1"/>
    <xf numFmtId="0" fontId="0" fillId="2" borderId="10" xfId="0" applyFill="1" applyBorder="1"/>
    <xf numFmtId="0" fontId="0" fillId="2" borderId="11" xfId="0" applyFill="1" applyBorder="1"/>
    <xf numFmtId="0" fontId="0" fillId="6" borderId="0" xfId="0" applyFill="1"/>
    <xf numFmtId="164" fontId="0" fillId="0" borderId="0" xfId="0" applyNumberFormat="1"/>
    <xf numFmtId="0" fontId="4" fillId="2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2" borderId="0" xfId="0" applyFont="1" applyFill="1" applyAlignment="1">
      <alignment horizontal="center"/>
    </xf>
    <xf numFmtId="0" fontId="3" fillId="3" borderId="0" xfId="0" applyFont="1" applyFill="1"/>
    <xf numFmtId="1" fontId="4" fillId="2" borderId="0" xfId="0" applyNumberFormat="1" applyFont="1" applyFill="1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7" fillId="0" borderId="0" xfId="0" applyFont="1"/>
    <xf numFmtId="0" fontId="0" fillId="0" borderId="0" xfId="0" applyAlignment="1">
      <alignment vertical="center"/>
    </xf>
    <xf numFmtId="1" fontId="3" fillId="0" borderId="0" xfId="0" applyNumberFormat="1" applyFont="1"/>
    <xf numFmtId="0" fontId="9" fillId="3" borderId="0" xfId="0" applyFont="1" applyFill="1" applyAlignment="1">
      <alignment vertical="center"/>
    </xf>
    <xf numFmtId="0" fontId="9" fillId="3" borderId="1" xfId="0" applyFont="1" applyFill="1" applyBorder="1" applyAlignment="1">
      <alignment vertical="center"/>
    </xf>
    <xf numFmtId="1" fontId="9" fillId="3" borderId="0" xfId="0" applyNumberFormat="1" applyFont="1" applyFill="1"/>
    <xf numFmtId="0" fontId="9" fillId="3" borderId="0" xfId="0" applyFont="1" applyFill="1"/>
    <xf numFmtId="0" fontId="9" fillId="3" borderId="0" xfId="0" applyFont="1" applyFill="1" applyAlignment="1">
      <alignment horizontal="center"/>
    </xf>
    <xf numFmtId="0" fontId="9" fillId="0" borderId="0" xfId="0" applyFont="1"/>
    <xf numFmtId="0" fontId="9" fillId="2" borderId="0" xfId="0" applyFont="1" applyFill="1"/>
    <xf numFmtId="1" fontId="9" fillId="2" borderId="0" xfId="0" applyNumberFormat="1" applyFont="1" applyFill="1"/>
    <xf numFmtId="0" fontId="9" fillId="2" borderId="0" xfId="0" applyFont="1" applyFill="1" applyAlignment="1">
      <alignment vertical="center"/>
    </xf>
    <xf numFmtId="0" fontId="9" fillId="0" borderId="0" xfId="0" applyFont="1" applyAlignment="1">
      <alignment horizontal="right"/>
    </xf>
    <xf numFmtId="164" fontId="9" fillId="7" borderId="0" xfId="2" applyFont="1" applyFill="1" applyBorder="1" applyAlignment="1" applyProtection="1">
      <alignment horizontal="center" wrapText="1"/>
    </xf>
    <xf numFmtId="0" fontId="9" fillId="3" borderId="0" xfId="0" applyFont="1" applyFill="1" applyAlignment="1">
      <alignment horizontal="center" wrapText="1"/>
    </xf>
    <xf numFmtId="0" fontId="9" fillId="7" borderId="0" xfId="0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3" borderId="0" xfId="0" applyFont="1" applyFill="1" applyAlignment="1" applyProtection="1">
      <alignment horizontal="center"/>
      <protection locked="0"/>
    </xf>
    <xf numFmtId="0" fontId="10" fillId="0" borderId="0" xfId="0" applyFont="1"/>
    <xf numFmtId="0" fontId="9" fillId="0" borderId="0" xfId="0" applyFont="1" applyAlignment="1">
      <alignment horizontal="left"/>
    </xf>
    <xf numFmtId="164" fontId="9" fillId="7" borderId="0" xfId="2" applyFont="1" applyFill="1" applyBorder="1" applyProtection="1"/>
    <xf numFmtId="164" fontId="9" fillId="3" borderId="0" xfId="2" applyFont="1" applyFill="1" applyBorder="1" applyProtection="1"/>
    <xf numFmtId="164" fontId="9" fillId="0" borderId="0" xfId="2" applyFont="1" applyFill="1" applyBorder="1" applyProtection="1"/>
    <xf numFmtId="164" fontId="9" fillId="3" borderId="0" xfId="0" applyNumberFormat="1" applyFont="1" applyFill="1"/>
    <xf numFmtId="165" fontId="9" fillId="3" borderId="0" xfId="1" applyFont="1" applyFill="1" applyBorder="1" applyAlignment="1" applyProtection="1">
      <alignment horizontal="right"/>
    </xf>
    <xf numFmtId="0" fontId="11" fillId="0" borderId="0" xfId="0" applyFont="1"/>
    <xf numFmtId="0" fontId="12" fillId="0" borderId="0" xfId="0" applyFont="1"/>
    <xf numFmtId="166" fontId="9" fillId="3" borderId="12" xfId="1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0" fontId="9" fillId="3" borderId="0" xfId="0" applyFont="1" applyFill="1" applyAlignment="1">
      <alignment horizontal="center" vertical="center" wrapText="1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FF9E1B"/>
      <color rgb="FF48B3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Energy Required  to achieve your selected water temperature</a:t>
            </a:r>
          </a:p>
        </c:rich>
      </c:tx>
      <c:layout>
        <c:manualLayout>
          <c:xMode val="edge"/>
          <c:yMode val="edge"/>
          <c:x val="9.8100696858477901E-2"/>
          <c:y val="4.8036009829981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47895500726"/>
          <c:y val="0.22916759915201501"/>
          <c:w val="0.74310595065312102"/>
          <c:h val="0.50833540175537795"/>
        </c:manualLayout>
      </c:layout>
      <c:lineChart>
        <c:grouping val="standard"/>
        <c:varyColors val="0"/>
        <c:ser>
          <c:idx val="0"/>
          <c:order val="0"/>
          <c:tx>
            <c:strRef>
              <c:f>Sheet1!$P$23</c:f>
              <c:strCache>
                <c:ptCount val="1"/>
                <c:pt idx="0">
                  <c:v> Without Cover 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Sheet1!$F$25:$F$36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Sheet1!$P$25:$P$36</c:f>
              <c:numCache>
                <c:formatCode>0</c:formatCode>
                <c:ptCount val="12"/>
                <c:pt idx="0">
                  <c:v>643.31279999999981</c:v>
                </c:pt>
                <c:pt idx="1">
                  <c:v>667.74239999999986</c:v>
                </c:pt>
                <c:pt idx="2">
                  <c:v>846.89279999999974</c:v>
                </c:pt>
                <c:pt idx="3">
                  <c:v>1091.1887999999999</c:v>
                </c:pt>
                <c:pt idx="4">
                  <c:v>1368.0575999999999</c:v>
                </c:pt>
                <c:pt idx="5">
                  <c:v>1547.2079999999999</c:v>
                </c:pt>
                <c:pt idx="6">
                  <c:v>1612.3535999999999</c:v>
                </c:pt>
                <c:pt idx="7">
                  <c:v>1506.492</c:v>
                </c:pt>
                <c:pt idx="8">
                  <c:v>1311.0552</c:v>
                </c:pt>
                <c:pt idx="9">
                  <c:v>1091.1887999999999</c:v>
                </c:pt>
                <c:pt idx="10">
                  <c:v>936.46799999999985</c:v>
                </c:pt>
                <c:pt idx="11">
                  <c:v>773.60399999999993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514-4DDA-8BD4-501E33D21DC5}"/>
            </c:ext>
          </c:extLst>
        </c:ser>
        <c:ser>
          <c:idx val="1"/>
          <c:order val="1"/>
          <c:tx>
            <c:strRef>
              <c:f>Sheet1!$Q$23</c:f>
              <c:strCache>
                <c:ptCount val="1"/>
                <c:pt idx="0">
                  <c:v>Cover Used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Sheet1!$F$25:$F$36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Sheet1!$Q$25:$Q$36</c:f>
              <c:numCache>
                <c:formatCode>0</c:formatCode>
                <c:ptCount val="12"/>
                <c:pt idx="0">
                  <c:v>569.33182799999986</c:v>
                </c:pt>
                <c:pt idx="1">
                  <c:v>590.95202399999994</c:v>
                </c:pt>
                <c:pt idx="2">
                  <c:v>749.50012799999979</c:v>
                </c:pt>
                <c:pt idx="3">
                  <c:v>965.70208799999989</c:v>
                </c:pt>
                <c:pt idx="4">
                  <c:v>1210.7309759999998</c:v>
                </c:pt>
                <c:pt idx="5">
                  <c:v>1369.2790799999998</c:v>
                </c:pt>
                <c:pt idx="6">
                  <c:v>1426.9329359999999</c:v>
                </c:pt>
                <c:pt idx="7">
                  <c:v>1333.24542</c:v>
                </c:pt>
                <c:pt idx="8">
                  <c:v>1160.283852</c:v>
                </c:pt>
                <c:pt idx="9">
                  <c:v>965.70208799999989</c:v>
                </c:pt>
                <c:pt idx="10">
                  <c:v>828.77417999999989</c:v>
                </c:pt>
                <c:pt idx="11">
                  <c:v>684.6395399999999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514-4DDA-8BD4-501E33D21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623243560"/>
        <c:axId val="578384072"/>
      </c:lineChart>
      <c:catAx>
        <c:axId val="623243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Month</a:t>
                </a:r>
              </a:p>
            </c:rich>
          </c:tx>
          <c:layout>
            <c:manualLayout>
              <c:xMode val="edge"/>
              <c:yMode val="edge"/>
              <c:x val="0.44847605249343803"/>
              <c:y val="0.85000349956255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38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384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kW for initial Heat Up</a:t>
                </a:r>
              </a:p>
            </c:rich>
          </c:tx>
          <c:layout>
            <c:manualLayout>
              <c:xMode val="edge"/>
              <c:yMode val="edge"/>
              <c:x val="2.3222089238845101E-2"/>
              <c:y val="0.2708346456692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43560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455614528673585"/>
          <c:y val="0.28958267716535435"/>
          <c:w val="0.1357140778347265"/>
          <c:h val="0.29375065616797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>
      <a:glow>
        <a:schemeClr val="accent1"/>
      </a:glo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Cost to heat your pool up</a:t>
            </a:r>
          </a:p>
        </c:rich>
      </c:tx>
      <c:layout>
        <c:manualLayout>
          <c:xMode val="edge"/>
          <c:yMode val="edge"/>
          <c:x val="0.32220606824147002"/>
          <c:y val="3.5947712418300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693759071117507E-2"/>
          <c:y val="0.215686962849018"/>
          <c:w val="0.73730043541364298"/>
          <c:h val="0.64052491997587302"/>
        </c:manualLayout>
      </c:layout>
      <c:lineChart>
        <c:grouping val="standard"/>
        <c:varyColors val="0"/>
        <c:ser>
          <c:idx val="0"/>
          <c:order val="0"/>
          <c:tx>
            <c:strRef>
              <c:f>Sheet1!$P$69</c:f>
              <c:strCache>
                <c:ptCount val="1"/>
                <c:pt idx="0">
                  <c:v> Without Cover 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Sheet1!$P$70:$P$81</c:f>
              <c:numCache>
                <c:formatCode>_-"$"* #,##0.00_-;\-"$"* #,##0.00_-;_-"$"* "-"??_-;_-@_-</c:formatCode>
                <c:ptCount val="12"/>
                <c:pt idx="0">
                  <c:v>22.515947999999995</c:v>
                </c:pt>
                <c:pt idx="1">
                  <c:v>23.370983999999993</c:v>
                </c:pt>
                <c:pt idx="2">
                  <c:v>29.64124799999999</c:v>
                </c:pt>
                <c:pt idx="3">
                  <c:v>38.191607999999995</c:v>
                </c:pt>
                <c:pt idx="4">
                  <c:v>47.882015999999993</c:v>
                </c:pt>
                <c:pt idx="5">
                  <c:v>54.15227999999999</c:v>
                </c:pt>
                <c:pt idx="6">
                  <c:v>56.432375999999998</c:v>
                </c:pt>
                <c:pt idx="7">
                  <c:v>52.727219999999996</c:v>
                </c:pt>
                <c:pt idx="8">
                  <c:v>45.886931999999995</c:v>
                </c:pt>
                <c:pt idx="9">
                  <c:v>38.191607999999995</c:v>
                </c:pt>
                <c:pt idx="10">
                  <c:v>32.776379999999996</c:v>
                </c:pt>
                <c:pt idx="11">
                  <c:v>27.076139999999995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5A-49F6-8F58-F7836AA0612C}"/>
            </c:ext>
          </c:extLst>
        </c:ser>
        <c:ser>
          <c:idx val="1"/>
          <c:order val="1"/>
          <c:tx>
            <c:strRef>
              <c:f>Sheet1!$Q$69</c:f>
              <c:strCache>
                <c:ptCount val="1"/>
                <c:pt idx="0">
                  <c:v>Cover Used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Sheet1!$Q$70:$Q$81</c:f>
              <c:numCache>
                <c:formatCode>_-"$"* #,##0.00_-;\-"$"* #,##0.00_-;_-"$"* "-"??_-;_-@_-</c:formatCode>
                <c:ptCount val="12"/>
                <c:pt idx="0">
                  <c:v>19.926613979999996</c:v>
                </c:pt>
                <c:pt idx="1">
                  <c:v>20.683320839999997</c:v>
                </c:pt>
                <c:pt idx="2">
                  <c:v>26.232504479999992</c:v>
                </c:pt>
                <c:pt idx="3">
                  <c:v>33.799573079999995</c:v>
                </c:pt>
                <c:pt idx="4">
                  <c:v>42.375584159999995</c:v>
                </c:pt>
                <c:pt idx="5">
                  <c:v>47.924767799999991</c:v>
                </c:pt>
                <c:pt idx="6">
                  <c:v>49.942652760000001</c:v>
                </c:pt>
                <c:pt idx="7">
                  <c:v>46.663589700000003</c:v>
                </c:pt>
                <c:pt idx="8">
                  <c:v>40.609934819999999</c:v>
                </c:pt>
                <c:pt idx="9">
                  <c:v>33.799573079999995</c:v>
                </c:pt>
                <c:pt idx="10">
                  <c:v>29.007096299999994</c:v>
                </c:pt>
                <c:pt idx="11">
                  <c:v>23.962383899999995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55A-49F6-8F58-F7836AA0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585170296"/>
        <c:axId val="585166872"/>
      </c:lineChart>
      <c:catAx>
        <c:axId val="58517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16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166872"/>
        <c:scaling>
          <c:orientation val="minMax"/>
        </c:scaling>
        <c:delete val="0"/>
        <c:axPos val="l"/>
        <c:numFmt formatCode="_-&quot;$&quot;* #,##0.00_-;\-&quot;$&quot;* #,##0.0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170296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149570152239007"/>
          <c:y val="0.3774504657506047"/>
          <c:w val="0.14850424279489335"/>
          <c:h val="0.230392671504297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>
      <a:glow>
        <a:schemeClr val="accent1"/>
      </a:glo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Cost per month to maintain your water temperature</a:t>
            </a:r>
          </a:p>
        </c:rich>
      </c:tx>
      <c:layout>
        <c:manualLayout>
          <c:xMode val="edge"/>
          <c:yMode val="edge"/>
          <c:x val="0.34542815748031502"/>
          <c:y val="3.67892976588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402031930334"/>
          <c:y val="0.217391304347826"/>
          <c:w val="0.75181422351233695"/>
          <c:h val="0.63545150501672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Sheet2!$C$45</c:f>
              <c:strCache>
                <c:ptCount val="1"/>
                <c:pt idx="0">
                  <c:v>No Cover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Sheet1!$F$83:$F$94</c:f>
              <c:strCache>
                <c:ptCount val="12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Sheet2!$C$46:$C$56</c:f>
              <c:numCache>
                <c:formatCode>_-"$"* #,##0.00_-;\-"$"* #,##0.00_-;_-"$"* "-"??_-;_-@_-</c:formatCode>
                <c:ptCount val="11"/>
                <c:pt idx="0">
                  <c:v>209.39831639999994</c:v>
                </c:pt>
                <c:pt idx="1">
                  <c:v>196.31626559999995</c:v>
                </c:pt>
                <c:pt idx="2">
                  <c:v>275.66360639999988</c:v>
                </c:pt>
                <c:pt idx="3">
                  <c:v>343.72447199999993</c:v>
                </c:pt>
                <c:pt idx="4">
                  <c:v>445.3027487999999</c:v>
                </c:pt>
                <c:pt idx="5">
                  <c:v>487.37051999999994</c:v>
                </c:pt>
                <c:pt idx="6">
                  <c:v>524.82109679999996</c:v>
                </c:pt>
                <c:pt idx="7">
                  <c:v>490.36314599999992</c:v>
                </c:pt>
                <c:pt idx="8">
                  <c:v>412.9823879999999</c:v>
                </c:pt>
                <c:pt idx="9">
                  <c:v>355.18195439999994</c:v>
                </c:pt>
                <c:pt idx="10">
                  <c:v>294.98741999999999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1-4D4B-88F8-7C165F8DA4B4}"/>
            </c:ext>
          </c:extLst>
        </c:ser>
        <c:ser>
          <c:idx val="1"/>
          <c:order val="1"/>
          <c:tx>
            <c:strRef>
              <c:f>Sheet2!$D$45</c:f>
              <c:strCache>
                <c:ptCount val="1"/>
                <c:pt idx="0">
                  <c:v>With Cover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strRef>
              <c:f>Sheet1!$F$83:$F$94</c:f>
              <c:strCache>
                <c:ptCount val="12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Sheet2!$D$46:$D$56</c:f>
              <c:numCache>
                <c:formatCode>_-"$"* #,##0.00_-;\-"$"* #,##0.00_-;_-"$"* "-"??_-;_-@_-</c:formatCode>
                <c:ptCount val="11"/>
                <c:pt idx="0">
                  <c:v>125.63898983999998</c:v>
                </c:pt>
                <c:pt idx="1">
                  <c:v>117.78975935999998</c:v>
                </c:pt>
                <c:pt idx="2">
                  <c:v>165.39816383999994</c:v>
                </c:pt>
                <c:pt idx="3">
                  <c:v>206.23468319999995</c:v>
                </c:pt>
                <c:pt idx="4">
                  <c:v>267.18164927999993</c:v>
                </c:pt>
                <c:pt idx="5">
                  <c:v>292.42231199999992</c:v>
                </c:pt>
                <c:pt idx="6">
                  <c:v>314.89265807999993</c:v>
                </c:pt>
                <c:pt idx="7">
                  <c:v>294.21788759999998</c:v>
                </c:pt>
                <c:pt idx="8">
                  <c:v>247.78943279999996</c:v>
                </c:pt>
                <c:pt idx="9">
                  <c:v>213.10917263999997</c:v>
                </c:pt>
                <c:pt idx="10">
                  <c:v>176.99245199999999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1-4D4B-88F8-7C165F8DA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578395160"/>
        <c:axId val="578401768"/>
      </c:barChart>
      <c:catAx>
        <c:axId val="57839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401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401768"/>
        <c:scaling>
          <c:orientation val="minMax"/>
        </c:scaling>
        <c:delete val="0"/>
        <c:axPos val="l"/>
        <c:numFmt formatCode="_-&quot;$&quot;* #,##0.00_-;\-&quot;$&quot;* #,##0.0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39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86872126064578581"/>
          <c:y val="0.32084726867335561"/>
          <c:w val="7.3168221990613833E-2"/>
          <c:h val="0.28929818555289283"/>
        </c:manualLayout>
      </c:layout>
      <c:overlay val="0"/>
      <c:spPr>
        <a:noFill/>
        <a:ln>
          <a:noFill/>
        </a:ln>
        <a:effectLst>
          <a:glow rad="127000">
            <a:schemeClr val="accent1"/>
          </a:glo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>
        <a:schemeClr val="accent1"/>
      </a:glo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AU" sz="1400">
                <a:latin typeface="+mn-lt"/>
              </a:rPr>
              <a:t>Temperature Chart</a:t>
            </a:r>
          </a:p>
        </c:rich>
      </c:tx>
      <c:layout>
        <c:manualLayout>
          <c:xMode val="edge"/>
          <c:yMode val="edge"/>
          <c:x val="0.24236663058916308"/>
          <c:y val="0.131638522829951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07367396070399E-2"/>
          <c:y val="0.21886832780868201"/>
          <c:w val="0.55217469454072499"/>
          <c:h val="0.54339722766293397"/>
        </c:manualLayout>
      </c:layout>
      <c:lineChart>
        <c:grouping val="standard"/>
        <c:varyColors val="0"/>
        <c:ser>
          <c:idx val="0"/>
          <c:order val="0"/>
          <c:tx>
            <c:strRef>
              <c:f>Sheet2!$A$4</c:f>
              <c:strCache>
                <c:ptCount val="1"/>
                <c:pt idx="0">
                  <c:v>Selected Temperature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Sheet2!$B$4:$M$4</c:f>
              <c:numCache>
                <c:formatCode>General</c:formatCode>
                <c:ptCount val="12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0-46B7-B9FB-75CD770B2391}"/>
            </c:ext>
          </c:extLst>
        </c:ser>
        <c:ser>
          <c:idx val="1"/>
          <c:order val="1"/>
          <c:tx>
            <c:v>Unheated Pool Temperature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Sheet2!$B$12:$M$12</c:f>
              <c:numCache>
                <c:formatCode>General</c:formatCode>
                <c:ptCount val="12"/>
                <c:pt idx="0">
                  <c:v>20.100000000000001</c:v>
                </c:pt>
                <c:pt idx="1">
                  <c:v>19.8</c:v>
                </c:pt>
                <c:pt idx="2">
                  <c:v>17.600000000000001</c:v>
                </c:pt>
                <c:pt idx="3">
                  <c:v>14.6</c:v>
                </c:pt>
                <c:pt idx="4">
                  <c:v>11.2</c:v>
                </c:pt>
                <c:pt idx="5">
                  <c:v>9</c:v>
                </c:pt>
                <c:pt idx="6">
                  <c:v>8.1999999999999993</c:v>
                </c:pt>
                <c:pt idx="7">
                  <c:v>9.5</c:v>
                </c:pt>
                <c:pt idx="8">
                  <c:v>11.9</c:v>
                </c:pt>
                <c:pt idx="9">
                  <c:v>14.6</c:v>
                </c:pt>
                <c:pt idx="10">
                  <c:v>16.5</c:v>
                </c:pt>
                <c:pt idx="11">
                  <c:v>18.5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9E0-46B7-B9FB-75CD770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107800"/>
        <c:axId val="64078812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Acheivable Water Temperature with Heat Pump</c:v>
                </c:tx>
                <c:spPr>
                  <a:ln w="2222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Lit>
                    <c:formatCode>General</c:formatCode>
                    <c:ptCount val="12"/>
                    <c:pt idx="0">
                      <c:v>25</c:v>
                    </c:pt>
                    <c:pt idx="1">
                      <c:v>24.7</c:v>
                    </c:pt>
                    <c:pt idx="2">
                      <c:v>22.5</c:v>
                    </c:pt>
                    <c:pt idx="3">
                      <c:v>19.5</c:v>
                    </c:pt>
                    <c:pt idx="4">
                      <c:v>16.099999999999998</c:v>
                    </c:pt>
                    <c:pt idx="5">
                      <c:v>13.899999999999999</c:v>
                    </c:pt>
                    <c:pt idx="6">
                      <c:v>13.099999999999998</c:v>
                    </c:pt>
                    <c:pt idx="7">
                      <c:v>14.399999999999999</c:v>
                    </c:pt>
                    <c:pt idx="8">
                      <c:v>16.799999999999997</c:v>
                    </c:pt>
                    <c:pt idx="9">
                      <c:v>19.5</c:v>
                    </c:pt>
                    <c:pt idx="10">
                      <c:v>21.4</c:v>
                    </c:pt>
                    <c:pt idx="11">
                      <c:v>23.4</c:v>
                    </c:pt>
                  </c:numLit>
                </c:val>
                <c:smooth val="1"/>
                <c:extLst>
                  <c:ext xmlns:c16="http://schemas.microsoft.com/office/drawing/2014/chart" uri="{C3380CC4-5D6E-409C-BE32-E72D297353CC}">
                    <c16:uniqueId val="{00000002-89E0-46B7-B9FB-75CD770B2391}"/>
                  </c:ext>
                </c:extLst>
              </c15:ser>
            </c15:filteredLineSeries>
          </c:ext>
        </c:extLst>
      </c:lineChart>
      <c:catAx>
        <c:axId val="585107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Month</a:t>
                </a:r>
              </a:p>
            </c:rich>
          </c:tx>
          <c:layout>
            <c:manualLayout>
              <c:xMode val="edge"/>
              <c:yMode val="edge"/>
              <c:x val="0.33478302432643198"/>
              <c:y val="0.86415252810379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788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0788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Degrees C</a:t>
                </a:r>
              </a:p>
            </c:rich>
          </c:tx>
          <c:layout>
            <c:manualLayout>
              <c:xMode val="edge"/>
              <c:yMode val="edge"/>
              <c:x val="2.31883474629569E-2"/>
              <c:y val="0.396227207448125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1078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885875220653579"/>
          <c:y val="0.30943277373347206"/>
          <c:w val="0.33001908469306507"/>
          <c:h val="0.41383766651810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>
      <a:glow>
        <a:schemeClr val="accent1"/>
      </a:glo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Required</a:t>
            </a:r>
            <a:r>
              <a:rPr lang="en-US" sz="1400" baseline="0"/>
              <a:t> temp rise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Unheated Water Temperature</c:v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val>
            <c:numRef>
              <c:f>Sheet2!$B$12:$M$12</c:f>
              <c:numCache>
                <c:formatCode>General</c:formatCode>
                <c:ptCount val="12"/>
                <c:pt idx="0">
                  <c:v>20.100000000000001</c:v>
                </c:pt>
                <c:pt idx="1">
                  <c:v>19.8</c:v>
                </c:pt>
                <c:pt idx="2">
                  <c:v>17.600000000000001</c:v>
                </c:pt>
                <c:pt idx="3">
                  <c:v>14.6</c:v>
                </c:pt>
                <c:pt idx="4">
                  <c:v>11.2</c:v>
                </c:pt>
                <c:pt idx="5">
                  <c:v>9</c:v>
                </c:pt>
                <c:pt idx="6">
                  <c:v>8.1999999999999993</c:v>
                </c:pt>
                <c:pt idx="7">
                  <c:v>9.5</c:v>
                </c:pt>
                <c:pt idx="8">
                  <c:v>11.9</c:v>
                </c:pt>
                <c:pt idx="9">
                  <c:v>14.6</c:v>
                </c:pt>
                <c:pt idx="10">
                  <c:v>16.5</c:v>
                </c:pt>
                <c:pt idx="11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2-4E8C-959C-E174165EE394}"/>
            </c:ext>
          </c:extLst>
        </c:ser>
        <c:ser>
          <c:idx val="1"/>
          <c:order val="1"/>
          <c:tx>
            <c:v>Required Temp Rise</c:v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val>
            <c:numRef>
              <c:f>Sheet2!$B$2:$M$2</c:f>
              <c:numCache>
                <c:formatCode>General</c:formatCode>
                <c:ptCount val="12"/>
                <c:pt idx="0">
                  <c:v>7.8999999999999986</c:v>
                </c:pt>
                <c:pt idx="1">
                  <c:v>8.1999999999999993</c:v>
                </c:pt>
                <c:pt idx="2">
                  <c:v>10.399999999999999</c:v>
                </c:pt>
                <c:pt idx="3">
                  <c:v>13.4</c:v>
                </c:pt>
                <c:pt idx="4">
                  <c:v>16.8</c:v>
                </c:pt>
                <c:pt idx="5">
                  <c:v>19</c:v>
                </c:pt>
                <c:pt idx="6">
                  <c:v>19.8</c:v>
                </c:pt>
                <c:pt idx="7">
                  <c:v>18.5</c:v>
                </c:pt>
                <c:pt idx="8">
                  <c:v>16.100000000000001</c:v>
                </c:pt>
                <c:pt idx="9">
                  <c:v>13.4</c:v>
                </c:pt>
                <c:pt idx="10">
                  <c:v>11.5</c:v>
                </c:pt>
                <c:pt idx="11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2-4E8C-959C-E174165EE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5738736"/>
        <c:axId val="735739720"/>
      </c:barChart>
      <c:catAx>
        <c:axId val="735738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739720"/>
        <c:crosses val="autoZero"/>
        <c:auto val="1"/>
        <c:lblAlgn val="ctr"/>
        <c:lblOffset val="100"/>
        <c:noMultiLvlLbl val="0"/>
      </c:catAx>
      <c:valAx>
        <c:axId val="735739720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73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>
        <a:schemeClr val="accent1"/>
      </a:glo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png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image" Target="../media/image7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11" Type="http://schemas.openxmlformats.org/officeDocument/2006/relationships/image" Target="../media/image6.png"/><Relationship Id="rId5" Type="http://schemas.openxmlformats.org/officeDocument/2006/relationships/chart" Target="../charts/chart4.xml"/><Relationship Id="rId10" Type="http://schemas.openxmlformats.org/officeDocument/2006/relationships/image" Target="../media/image5.png"/><Relationship Id="rId4" Type="http://schemas.openxmlformats.org/officeDocument/2006/relationships/chart" Target="../charts/chart3.xml"/><Relationship Id="rId9" Type="http://schemas.openxmlformats.org/officeDocument/2006/relationships/image" Target="../media/image4.pn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225425</xdr:colOff>
      <xdr:row>24</xdr:row>
      <xdr:rowOff>92075</xdr:rowOff>
    </xdr:from>
    <xdr:to>
      <xdr:col>3</xdr:col>
      <xdr:colOff>1331912</xdr:colOff>
      <xdr:row>36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93C14-C61C-427B-9A2F-C4EB9815D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4810125"/>
          <a:ext cx="2211387" cy="2327275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>
    <xdr:from>
      <xdr:col>0</xdr:col>
      <xdr:colOff>4233</xdr:colOff>
      <xdr:row>113</xdr:row>
      <xdr:rowOff>189443</xdr:rowOff>
    </xdr:from>
    <xdr:to>
      <xdr:col>17</xdr:col>
      <xdr:colOff>61383</xdr:colOff>
      <xdr:row>134</xdr:row>
      <xdr:rowOff>186268</xdr:rowOff>
    </xdr:to>
    <xdr:graphicFrame macro="">
      <xdr:nvGraphicFramePr>
        <xdr:cNvPr id="3" name="Chart 28">
          <a:extLst>
            <a:ext uri="{FF2B5EF4-FFF2-40B4-BE49-F238E27FC236}">
              <a16:creationId xmlns:a16="http://schemas.microsoft.com/office/drawing/2014/main" id="{9DFFD782-5794-492C-AC3E-52A8067B8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135</xdr:row>
      <xdr:rowOff>19050</xdr:rowOff>
    </xdr:from>
    <xdr:to>
      <xdr:col>17</xdr:col>
      <xdr:colOff>57150</xdr:colOff>
      <xdr:row>148</xdr:row>
      <xdr:rowOff>38100</xdr:rowOff>
    </xdr:to>
    <xdr:graphicFrame macro="">
      <xdr:nvGraphicFramePr>
        <xdr:cNvPr id="4" name="Chart 29">
          <a:extLst>
            <a:ext uri="{FF2B5EF4-FFF2-40B4-BE49-F238E27FC236}">
              <a16:creationId xmlns:a16="http://schemas.microsoft.com/office/drawing/2014/main" id="{453CFA63-BB16-434D-97A2-CA84287C7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34926</xdr:colOff>
      <xdr:row>148</xdr:row>
      <xdr:rowOff>95250</xdr:rowOff>
    </xdr:from>
    <xdr:to>
      <xdr:col>17</xdr:col>
      <xdr:colOff>63499</xdr:colOff>
      <xdr:row>163</xdr:row>
      <xdr:rowOff>41275</xdr:rowOff>
    </xdr:to>
    <xdr:graphicFrame macro="">
      <xdr:nvGraphicFramePr>
        <xdr:cNvPr id="5" name="Chart 30">
          <a:extLst>
            <a:ext uri="{FF2B5EF4-FFF2-40B4-BE49-F238E27FC236}">
              <a16:creationId xmlns:a16="http://schemas.microsoft.com/office/drawing/2014/main" id="{E79C3AC3-7D9A-452D-B117-9093A987A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102</xdr:row>
      <xdr:rowOff>143933</xdr:rowOff>
    </xdr:from>
    <xdr:to>
      <xdr:col>17</xdr:col>
      <xdr:colOff>53975</xdr:colOff>
      <xdr:row>113</xdr:row>
      <xdr:rowOff>178858</xdr:rowOff>
    </xdr:to>
    <xdr:graphicFrame macro="">
      <xdr:nvGraphicFramePr>
        <xdr:cNvPr id="6" name="Chart 31">
          <a:extLst>
            <a:ext uri="{FF2B5EF4-FFF2-40B4-BE49-F238E27FC236}">
              <a16:creationId xmlns:a16="http://schemas.microsoft.com/office/drawing/2014/main" id="{16570B55-64D2-4227-BC0A-B339F5921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42</xdr:row>
      <xdr:rowOff>13844</xdr:rowOff>
    </xdr:from>
    <xdr:to>
      <xdr:col>2</xdr:col>
      <xdr:colOff>593725</xdr:colOff>
      <xdr:row>46</xdr:row>
      <xdr:rowOff>2962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4DC45C-333F-4A90-91D0-618863E4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00594"/>
          <a:ext cx="1630892" cy="751118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0</xdr:rowOff>
    </xdr:from>
    <xdr:to>
      <xdr:col>2</xdr:col>
      <xdr:colOff>872520</xdr:colOff>
      <xdr:row>4</xdr:row>
      <xdr:rowOff>73505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C98775-B6C1-4803-891B-B0DC72C9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" y="0"/>
          <a:ext cx="1898045" cy="835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26661</xdr:rowOff>
    </xdr:from>
    <xdr:to>
      <xdr:col>2</xdr:col>
      <xdr:colOff>473074</xdr:colOff>
      <xdr:row>102</xdr:row>
      <xdr:rowOff>110273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0E07BA-F21F-4293-8631-B709D3D2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8378161"/>
          <a:ext cx="1507066" cy="645587"/>
        </a:xfrm>
        <a:prstGeom prst="rect">
          <a:avLst/>
        </a:prstGeom>
      </xdr:spPr>
    </xdr:pic>
    <xdr:clientData/>
  </xdr:twoCellAnchor>
  <xdr:twoCellAnchor>
    <xdr:from>
      <xdr:col>1</xdr:col>
      <xdr:colOff>13757</xdr:colOff>
      <xdr:row>47</xdr:row>
      <xdr:rowOff>1058</xdr:rowOff>
    </xdr:from>
    <xdr:to>
      <xdr:col>3</xdr:col>
      <xdr:colOff>1252007</xdr:colOff>
      <xdr:row>66</xdr:row>
      <xdr:rowOff>42333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B2CF9A6-972F-42A6-A151-C5D16DF96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495300</xdr:colOff>
      <xdr:row>68</xdr:row>
      <xdr:rowOff>231775</xdr:rowOff>
    </xdr:from>
    <xdr:to>
      <xdr:col>3</xdr:col>
      <xdr:colOff>1101724</xdr:colOff>
      <xdr:row>81</xdr:row>
      <xdr:rowOff>74474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5266F0-880C-4246-92AF-B85053CB7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5300" y="12118975"/>
          <a:ext cx="2733674" cy="2211249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1</xdr:col>
      <xdr:colOff>508000</xdr:colOff>
      <xdr:row>82</xdr:row>
      <xdr:rowOff>3176</xdr:rowOff>
    </xdr:from>
    <xdr:to>
      <xdr:col>3</xdr:col>
      <xdr:colOff>1120775</xdr:colOff>
      <xdr:row>95</xdr:row>
      <xdr:rowOff>35313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A68B8B6-420E-4018-B632-CFDD4A7E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8000" y="14004926"/>
          <a:ext cx="2755900" cy="2651512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2</xdr:col>
      <xdr:colOff>12701</xdr:colOff>
      <xdr:row>8</xdr:row>
      <xdr:rowOff>53975</xdr:rowOff>
    </xdr:from>
    <xdr:to>
      <xdr:col>4</xdr:col>
      <xdr:colOff>15876</xdr:colOff>
      <xdr:row>13</xdr:row>
      <xdr:rowOff>129015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D94D72C-4612-4563-B4CD-58FEEB88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54101" y="1577975"/>
          <a:ext cx="2432050" cy="1027540"/>
        </a:xfrm>
        <a:prstGeom prst="rect">
          <a:avLst/>
        </a:prstGeom>
      </xdr:spPr>
    </xdr:pic>
    <xdr:clientData/>
  </xdr:twoCellAnchor>
  <xdr:oneCellAnchor>
    <xdr:from>
      <xdr:col>4</xdr:col>
      <xdr:colOff>200896</xdr:colOff>
      <xdr:row>82</xdr:row>
      <xdr:rowOff>307546</xdr:rowOff>
    </xdr:from>
    <xdr:ext cx="280205" cy="231012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B638C9D-19C5-4FC4-A725-C2EC42FEC171}"/>
            </a:ext>
          </a:extLst>
        </xdr:cNvPr>
        <xdr:cNvSpPr txBox="1"/>
      </xdr:nvSpPr>
      <xdr:spPr>
        <a:xfrm rot="16200000">
          <a:off x="2665739" y="15521103"/>
          <a:ext cx="231012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100" b="1">
              <a:solidFill>
                <a:srgbClr val="48B3B6"/>
              </a:solidFill>
            </a:rPr>
            <a:t>Daily cost</a:t>
          </a:r>
          <a:r>
            <a:rPr lang="en-AU" sz="1100" b="1" baseline="0">
              <a:solidFill>
                <a:srgbClr val="48B3B6"/>
              </a:solidFill>
            </a:rPr>
            <a:t> to maintain </a:t>
          </a:r>
          <a:r>
            <a:rPr lang="en-AU" sz="1200" b="1" baseline="0">
              <a:solidFill>
                <a:srgbClr val="48B3B6"/>
              </a:solidFill>
            </a:rPr>
            <a:t>temperature</a:t>
          </a:r>
          <a:endParaRPr lang="en-AU" sz="1200" b="1">
            <a:solidFill>
              <a:srgbClr val="48B3B6"/>
            </a:solidFill>
          </a:endParaRPr>
        </a:p>
      </xdr:txBody>
    </xdr:sp>
    <xdr:clientData/>
  </xdr:oneCellAnchor>
  <xdr:oneCellAnchor>
    <xdr:from>
      <xdr:col>4</xdr:col>
      <xdr:colOff>208717</xdr:colOff>
      <xdr:row>71</xdr:row>
      <xdr:rowOff>105014</xdr:rowOff>
    </xdr:from>
    <xdr:ext cx="264560" cy="1318181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62A1552-3E25-4DB2-AD0E-21827827A536}"/>
            </a:ext>
          </a:extLst>
        </xdr:cNvPr>
        <xdr:cNvSpPr txBox="1"/>
      </xdr:nvSpPr>
      <xdr:spPr>
        <a:xfrm rot="16200000">
          <a:off x="3161706" y="12925425"/>
          <a:ext cx="13181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100" b="1">
              <a:solidFill>
                <a:srgbClr val="48B3B6"/>
              </a:solidFill>
            </a:rPr>
            <a:t>Initial</a:t>
          </a:r>
          <a:r>
            <a:rPr lang="en-AU" sz="1100" b="1" baseline="0">
              <a:solidFill>
                <a:srgbClr val="48B3B6"/>
              </a:solidFill>
            </a:rPr>
            <a:t> Heat Up Cost</a:t>
          </a:r>
          <a:endParaRPr lang="en-AU" sz="1200" b="1">
            <a:solidFill>
              <a:srgbClr val="48B3B6"/>
            </a:solidFill>
          </a:endParaRPr>
        </a:p>
      </xdr:txBody>
    </xdr:sp>
    <xdr:clientData/>
  </xdr:oneCellAnchor>
  <xdr:oneCellAnchor>
    <xdr:from>
      <xdr:col>4</xdr:col>
      <xdr:colOff>161617</xdr:colOff>
      <xdr:row>22</xdr:row>
      <xdr:rowOff>311211</xdr:rowOff>
    </xdr:from>
    <xdr:ext cx="264560" cy="2563138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24CE2D5-4347-46F4-B79E-9333B5734E16}"/>
            </a:ext>
          </a:extLst>
        </xdr:cNvPr>
        <xdr:cNvSpPr txBox="1"/>
      </xdr:nvSpPr>
      <xdr:spPr>
        <a:xfrm rot="16200000">
          <a:off x="2492128" y="5651500"/>
          <a:ext cx="25631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100" b="1">
              <a:solidFill>
                <a:srgbClr val="48B3B6"/>
              </a:solidFill>
            </a:rPr>
            <a:t>kW required</a:t>
          </a:r>
          <a:r>
            <a:rPr lang="en-AU" sz="1100" b="1" baseline="0">
              <a:solidFill>
                <a:srgbClr val="48B3B6"/>
              </a:solidFill>
            </a:rPr>
            <a:t> to raise water Temperature</a:t>
          </a:r>
          <a:endParaRPr lang="en-AU" sz="1100" b="1">
            <a:solidFill>
              <a:srgbClr val="48B3B6"/>
            </a:solidFill>
          </a:endParaRPr>
        </a:p>
      </xdr:txBody>
    </xdr:sp>
    <xdr:clientData/>
  </xdr:oneCellAnchor>
  <xdr:twoCellAnchor editAs="oneCell">
    <xdr:from>
      <xdr:col>3</xdr:col>
      <xdr:colOff>1309158</xdr:colOff>
      <xdr:row>46</xdr:row>
      <xdr:rowOff>178858</xdr:rowOff>
    </xdr:from>
    <xdr:to>
      <xdr:col>16</xdr:col>
      <xdr:colOff>608541</xdr:colOff>
      <xdr:row>52</xdr:row>
      <xdr:rowOff>187253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F5AA13-6B12-4E6C-9E3D-9BA9BE671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46991" y="9227608"/>
          <a:ext cx="2707217" cy="1141870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3</xdr:col>
      <xdr:colOff>1321858</xdr:colOff>
      <xdr:row>54</xdr:row>
      <xdr:rowOff>16175</xdr:rowOff>
    </xdr:from>
    <xdr:to>
      <xdr:col>16</xdr:col>
      <xdr:colOff>608599</xdr:colOff>
      <xdr:row>66</xdr:row>
      <xdr:rowOff>77259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B7647E-2BCF-4C29-B26E-4E4C16A8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59691" y="10588925"/>
          <a:ext cx="2694575" cy="1394584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1</xdr:col>
      <xdr:colOff>47625</xdr:colOff>
      <xdr:row>168</xdr:row>
      <xdr:rowOff>79375</xdr:rowOff>
    </xdr:from>
    <xdr:to>
      <xdr:col>2</xdr:col>
      <xdr:colOff>517524</xdr:colOff>
      <xdr:row>171</xdr:row>
      <xdr:rowOff>156637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C61EDF8-C5BA-49DD-9B76-AA871045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28705175"/>
          <a:ext cx="1511299" cy="648762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5</xdr:row>
      <xdr:rowOff>104775</xdr:rowOff>
    </xdr:from>
    <xdr:to>
      <xdr:col>17</xdr:col>
      <xdr:colOff>149225</xdr:colOff>
      <xdr:row>13</xdr:row>
      <xdr:rowOff>181076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A0F4A9B-9299-0E4F-3ED9-7EADBE362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4881" t="19291" r="24505"/>
        <a:stretch/>
      </xdr:blipFill>
      <xdr:spPr>
        <a:xfrm>
          <a:off x="4194175" y="1057275"/>
          <a:ext cx="2114550" cy="159712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13</xdr:row>
      <xdr:rowOff>168886</xdr:rowOff>
    </xdr:from>
    <xdr:to>
      <xdr:col>17</xdr:col>
      <xdr:colOff>174625</xdr:colOff>
      <xdr:row>21</xdr:row>
      <xdr:rowOff>126856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A15854F-B9F5-6FAC-DAD4-E5B1B89E1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69" t="11856" r="19036" b="11657"/>
        <a:stretch/>
      </xdr:blipFill>
      <xdr:spPr>
        <a:xfrm>
          <a:off x="4251325" y="2645386"/>
          <a:ext cx="2082800" cy="1478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38B2-30D4-426F-85BA-36A35F63B151}">
  <sheetPr codeName="Sheet1"/>
  <dimension ref="A2:X178"/>
  <sheetViews>
    <sheetView showGridLines="0" showRowColHeaders="0" tabSelected="1" topLeftCell="B1" zoomScaleNormal="100" workbookViewId="0">
      <selection activeCell="D16" sqref="D16"/>
    </sheetView>
  </sheetViews>
  <sheetFormatPr defaultRowHeight="15" x14ac:dyDescent="0.25"/>
  <cols>
    <col min="1" max="1" width="15.42578125" hidden="1" customWidth="1"/>
    <col min="2" max="2" width="15.5703125" customWidth="1"/>
    <col min="3" max="3" width="16.5703125" customWidth="1"/>
    <col min="4" max="4" width="20" customWidth="1"/>
    <col min="6" max="6" width="9" customWidth="1"/>
    <col min="7" max="15" width="25" hidden="1" customWidth="1"/>
    <col min="16" max="16" width="12.85546875" customWidth="1"/>
    <col min="24" max="24" width="0" hidden="1" customWidth="1"/>
  </cols>
  <sheetData>
    <row r="2" spans="1:17" x14ac:dyDescent="0.25">
      <c r="A2" s="1"/>
      <c r="B2" s="1"/>
      <c r="C2" s="1"/>
      <c r="D2" s="1"/>
    </row>
    <row r="3" spans="1:17" x14ac:dyDescent="0.25">
      <c r="A3" s="1"/>
      <c r="B3" s="1"/>
      <c r="C3" s="1"/>
      <c r="D3" s="1"/>
    </row>
    <row r="4" spans="1:17" x14ac:dyDescent="0.25">
      <c r="A4" s="2"/>
      <c r="C4" s="2"/>
      <c r="D4" s="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x14ac:dyDescent="0.25">
      <c r="A5" s="2"/>
      <c r="C5" s="2"/>
      <c r="D5" s="2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1:17" x14ac:dyDescent="0.25">
      <c r="A6" s="2"/>
      <c r="B6" s="41" t="s">
        <v>0</v>
      </c>
      <c r="C6" s="41"/>
      <c r="D6" s="41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 spans="1:17" x14ac:dyDescent="0.25">
      <c r="A7" s="2"/>
      <c r="B7" s="53" t="s">
        <v>1</v>
      </c>
      <c r="C7" s="41"/>
      <c r="D7" s="41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17" x14ac:dyDescent="0.25">
      <c r="A8" s="2"/>
      <c r="B8" s="41" t="s">
        <v>2</v>
      </c>
      <c r="C8" s="41"/>
      <c r="D8" s="51" t="s">
        <v>3</v>
      </c>
      <c r="E8" s="3"/>
      <c r="F8" s="3"/>
      <c r="G8" s="22"/>
      <c r="H8" s="22"/>
      <c r="I8" s="3"/>
      <c r="J8" s="3"/>
      <c r="K8" s="3"/>
      <c r="L8" s="3"/>
      <c r="M8" s="3"/>
      <c r="N8" s="3"/>
      <c r="O8" s="3"/>
      <c r="P8" s="3"/>
      <c r="Q8" s="3"/>
    </row>
    <row r="9" spans="1:17" x14ac:dyDescent="0.25">
      <c r="A9" s="2"/>
      <c r="B9" s="2"/>
      <c r="C9" s="2"/>
      <c r="D9" s="2"/>
      <c r="E9" s="3"/>
      <c r="F9" s="3"/>
      <c r="G9" s="22"/>
      <c r="H9" s="22"/>
      <c r="I9" s="3"/>
      <c r="J9" s="3"/>
      <c r="K9" s="3"/>
      <c r="L9" s="3"/>
      <c r="M9" s="3"/>
      <c r="N9" s="3"/>
      <c r="O9" s="3"/>
      <c r="P9" s="3"/>
      <c r="Q9" s="3"/>
    </row>
    <row r="10" spans="1:17" x14ac:dyDescent="0.25">
      <c r="A10" s="2"/>
      <c r="B10" s="2"/>
      <c r="C10" s="2"/>
      <c r="D10" s="2"/>
      <c r="E10" s="3"/>
      <c r="F10" s="3"/>
      <c r="G10" s="22"/>
      <c r="H10" s="22"/>
      <c r="I10" s="3"/>
      <c r="J10" s="3"/>
      <c r="K10" s="3"/>
      <c r="L10" s="3"/>
      <c r="M10" s="3"/>
      <c r="N10" s="3"/>
      <c r="O10" s="3"/>
      <c r="P10" s="3"/>
      <c r="Q10" s="3"/>
    </row>
    <row r="11" spans="1:17" x14ac:dyDescent="0.25">
      <c r="A11" s="2"/>
      <c r="B11" s="2"/>
      <c r="C11" s="2"/>
      <c r="D11" s="2"/>
      <c r="E11" s="3"/>
      <c r="F11" s="3"/>
      <c r="G11" s="22"/>
      <c r="H11" s="22"/>
      <c r="I11" s="3"/>
      <c r="J11" s="3"/>
      <c r="K11" s="3"/>
      <c r="L11" s="3"/>
      <c r="M11" s="3"/>
      <c r="N11" s="3"/>
      <c r="O11" s="3"/>
      <c r="P11" s="3"/>
      <c r="Q11" s="3"/>
    </row>
    <row r="12" spans="1:17" x14ac:dyDescent="0.25">
      <c r="A12" s="2"/>
      <c r="B12" s="2"/>
      <c r="C12" s="2"/>
      <c r="D12" s="2"/>
      <c r="E12" s="3"/>
      <c r="F12" s="3"/>
      <c r="G12" s="22"/>
      <c r="H12" s="22"/>
      <c r="I12" s="3"/>
      <c r="J12" s="3"/>
      <c r="K12" s="3"/>
      <c r="L12" s="3"/>
      <c r="M12" s="3"/>
      <c r="N12" s="3"/>
      <c r="O12" s="3"/>
      <c r="P12" s="3"/>
      <c r="Q12" s="3"/>
    </row>
    <row r="13" spans="1:17" x14ac:dyDescent="0.25">
      <c r="A13" s="2"/>
      <c r="B13" s="2"/>
      <c r="C13" s="2"/>
      <c r="D13" s="2"/>
      <c r="E13" s="23"/>
      <c r="F13" s="3"/>
      <c r="G13" s="22"/>
      <c r="H13" s="22"/>
      <c r="I13" s="3"/>
      <c r="J13" s="3"/>
      <c r="K13" s="3"/>
      <c r="L13" s="3"/>
      <c r="M13" s="3"/>
      <c r="N13" s="3"/>
      <c r="O13" s="24"/>
      <c r="P13" s="3"/>
      <c r="Q13" s="3"/>
    </row>
    <row r="14" spans="1:17" x14ac:dyDescent="0.25">
      <c r="A14" s="2"/>
      <c r="B14" s="2"/>
      <c r="C14" s="2"/>
      <c r="D14" s="2"/>
      <c r="E14" s="3"/>
      <c r="F14" s="3"/>
      <c r="G14" s="22"/>
      <c r="H14" s="22"/>
      <c r="I14" s="3"/>
      <c r="J14" s="3"/>
      <c r="K14" s="3"/>
      <c r="L14" s="3"/>
      <c r="M14" s="3"/>
      <c r="N14" s="3"/>
      <c r="O14" s="3"/>
      <c r="P14" s="3"/>
      <c r="Q14" s="3"/>
    </row>
    <row r="15" spans="1:17" x14ac:dyDescent="0.25">
      <c r="A15" s="2"/>
      <c r="B15" s="41" t="s">
        <v>4</v>
      </c>
      <c r="C15" s="41"/>
      <c r="D15" s="50" t="s">
        <v>5</v>
      </c>
      <c r="E15" s="3"/>
      <c r="F15" s="3"/>
      <c r="G15" s="22"/>
      <c r="H15" s="22"/>
      <c r="I15" s="3"/>
      <c r="J15" s="3"/>
      <c r="K15" s="3"/>
      <c r="L15" s="3"/>
      <c r="M15" s="3"/>
      <c r="N15" s="3"/>
      <c r="O15" s="3"/>
      <c r="P15" s="3"/>
      <c r="Q15" s="3"/>
    </row>
    <row r="16" spans="1:17" x14ac:dyDescent="0.25">
      <c r="A16" s="2"/>
      <c r="B16" s="41"/>
      <c r="C16" s="41" t="s">
        <v>6</v>
      </c>
      <c r="D16" s="51">
        <v>9</v>
      </c>
      <c r="E16" s="3"/>
      <c r="F16" s="3"/>
      <c r="G16" s="22"/>
      <c r="H16" s="22"/>
      <c r="I16" s="3"/>
      <c r="J16" s="3"/>
      <c r="K16" s="3"/>
      <c r="L16" s="3"/>
      <c r="M16" s="3"/>
      <c r="N16" s="3"/>
      <c r="O16" s="3"/>
      <c r="P16" s="3"/>
      <c r="Q16" s="3"/>
    </row>
    <row r="17" spans="1:17" x14ac:dyDescent="0.25">
      <c r="A17" s="2"/>
      <c r="B17" s="41"/>
      <c r="C17" s="41"/>
      <c r="D17" s="50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1:17" x14ac:dyDescent="0.25">
      <c r="A18" s="2"/>
      <c r="B18" s="41"/>
      <c r="C18" s="41" t="s">
        <v>7</v>
      </c>
      <c r="D18" s="51">
        <v>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1:17" x14ac:dyDescent="0.25">
      <c r="A19" s="2"/>
      <c r="B19" s="41"/>
      <c r="C19" s="41"/>
      <c r="D19" s="50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1:17" x14ac:dyDescent="0.25">
      <c r="A20" s="2"/>
      <c r="B20" s="41"/>
      <c r="C20" s="41" t="s">
        <v>8</v>
      </c>
      <c r="D20" s="51">
        <v>1.5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1:17" x14ac:dyDescent="0.25">
      <c r="A21" s="2"/>
      <c r="B21" s="41"/>
      <c r="C21" s="41"/>
      <c r="D21" s="50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1:17" x14ac:dyDescent="0.25">
      <c r="A22" s="2"/>
      <c r="B22" s="41" t="s">
        <v>9</v>
      </c>
      <c r="C22" s="41"/>
      <c r="D22" s="51">
        <v>28</v>
      </c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1:17" ht="26.25" x14ac:dyDescent="0.25">
      <c r="A23" s="2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6" t="s">
        <v>10</v>
      </c>
      <c r="Q23" s="47" t="s">
        <v>11</v>
      </c>
    </row>
    <row r="24" spans="1:17" x14ac:dyDescent="0.25">
      <c r="A24" s="2"/>
      <c r="B24" s="52" t="s">
        <v>12</v>
      </c>
      <c r="C24" s="41"/>
      <c r="D24" s="51" t="s">
        <v>71</v>
      </c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8" t="s">
        <v>13</v>
      </c>
      <c r="Q24" s="40" t="s">
        <v>13</v>
      </c>
    </row>
    <row r="25" spans="1:17" x14ac:dyDescent="0.25">
      <c r="A25" s="2"/>
      <c r="B25" s="2"/>
      <c r="C25" s="2"/>
      <c r="D25" s="2"/>
      <c r="E25" s="41"/>
      <c r="F25" s="41" t="s">
        <v>14</v>
      </c>
      <c r="G25" s="41"/>
      <c r="H25" s="41"/>
      <c r="I25" s="41"/>
      <c r="J25" s="41"/>
      <c r="K25" s="41"/>
      <c r="L25" s="41"/>
      <c r="M25" s="41"/>
      <c r="N25" s="41"/>
      <c r="O25" s="41"/>
      <c r="P25" s="49">
        <f>D$16*D$18*D$20*1.16*(D$22-SUMIF(Sheet2!$N$6:$N$11, 1,Sheet2!$B$6:$B$11))*1.3</f>
        <v>643.31279999999981</v>
      </c>
      <c r="Q25" s="49">
        <f>P25*0.885</f>
        <v>569.33182799999986</v>
      </c>
    </row>
    <row r="26" spans="1:17" x14ac:dyDescent="0.25">
      <c r="A26" s="2"/>
      <c r="B26" s="25"/>
      <c r="D26" s="2"/>
      <c r="E26" s="41"/>
      <c r="F26" s="41" t="s">
        <v>15</v>
      </c>
      <c r="G26" s="41"/>
      <c r="H26" s="41"/>
      <c r="I26" s="41"/>
      <c r="J26" s="41"/>
      <c r="K26" s="41"/>
      <c r="L26" s="41"/>
      <c r="M26" s="41"/>
      <c r="N26" s="41"/>
      <c r="O26" s="41"/>
      <c r="P26" s="49">
        <f>D$16*D$18*D$20*1.16*(D$22-SUMIF(Sheet2!$N$6:$N$11, 1,Sheet2!$C$6:$C$11))*1.3</f>
        <v>667.74239999999986</v>
      </c>
      <c r="Q26" s="49">
        <f t="shared" ref="Q26:Q36" si="0">P26*0.885</f>
        <v>590.95202399999994</v>
      </c>
    </row>
    <row r="27" spans="1:17" x14ac:dyDescent="0.25">
      <c r="A27" s="2"/>
      <c r="B27" s="2"/>
      <c r="C27" s="26"/>
      <c r="D27" s="2"/>
      <c r="E27" s="41"/>
      <c r="F27" s="41" t="s">
        <v>16</v>
      </c>
      <c r="G27" s="41"/>
      <c r="H27" s="41"/>
      <c r="I27" s="41"/>
      <c r="J27" s="41"/>
      <c r="K27" s="41"/>
      <c r="L27" s="41"/>
      <c r="M27" s="41"/>
      <c r="N27" s="41"/>
      <c r="O27" s="41"/>
      <c r="P27" s="49">
        <f>D$16*D$18*D$20*1.16*(D$22-SUMIF(Sheet2!$N$6:$N$11, 1,Sheet2!$D$6:$D$11))*1.3</f>
        <v>846.89279999999974</v>
      </c>
      <c r="Q27" s="49">
        <f t="shared" si="0"/>
        <v>749.50012799999979</v>
      </c>
    </row>
    <row r="28" spans="1:17" x14ac:dyDescent="0.25">
      <c r="A28" s="2"/>
      <c r="B28" s="2"/>
      <c r="C28" s="26"/>
      <c r="D28" s="2"/>
      <c r="E28" s="41"/>
      <c r="F28" s="41" t="s">
        <v>17</v>
      </c>
      <c r="G28" s="41"/>
      <c r="H28" s="41"/>
      <c r="I28" s="41"/>
      <c r="J28" s="41"/>
      <c r="K28" s="41"/>
      <c r="L28" s="41"/>
      <c r="M28" s="41"/>
      <c r="N28" s="41"/>
      <c r="O28" s="41"/>
      <c r="P28" s="49">
        <f>D$16*D$18*D$20*1.16*(D$22-SUMIF(Sheet2!$N$6:$N$11, 1,Sheet2!$E$6:$E$11))*1.3</f>
        <v>1091.1887999999999</v>
      </c>
      <c r="Q28" s="49">
        <f t="shared" si="0"/>
        <v>965.70208799999989</v>
      </c>
    </row>
    <row r="29" spans="1:17" x14ac:dyDescent="0.25">
      <c r="A29" s="2"/>
      <c r="B29" s="2"/>
      <c r="C29" s="26"/>
      <c r="D29" s="2"/>
      <c r="E29" s="41"/>
      <c r="F29" s="41" t="s">
        <v>18</v>
      </c>
      <c r="G29" s="41"/>
      <c r="H29" s="41"/>
      <c r="I29" s="41"/>
      <c r="J29" s="41"/>
      <c r="K29" s="41"/>
      <c r="L29" s="41"/>
      <c r="M29" s="41"/>
      <c r="N29" s="41"/>
      <c r="O29" s="41"/>
      <c r="P29" s="49">
        <f>D$16*D$18*D$20*1.16*(D$22-SUMIF(Sheet2!$N$6:$N$11, 1,Sheet2!$F$6:$F$11))*1.3</f>
        <v>1368.0575999999999</v>
      </c>
      <c r="Q29" s="49">
        <f t="shared" si="0"/>
        <v>1210.7309759999998</v>
      </c>
    </row>
    <row r="30" spans="1:17" x14ac:dyDescent="0.25">
      <c r="A30" s="2"/>
      <c r="B30" s="2"/>
      <c r="C30" s="26"/>
      <c r="D30" s="2"/>
      <c r="E30" s="41"/>
      <c r="F30" s="41" t="s">
        <v>19</v>
      </c>
      <c r="G30" s="41"/>
      <c r="H30" s="41"/>
      <c r="I30" s="41"/>
      <c r="J30" s="41"/>
      <c r="K30" s="41"/>
      <c r="L30" s="41"/>
      <c r="M30" s="41"/>
      <c r="N30" s="41"/>
      <c r="O30" s="41"/>
      <c r="P30" s="49">
        <f>D$16*D$18*D$20*1.16*(D$22-SUMIF(Sheet2!$N$6:$N$11, 1,Sheet2!$G$6:$G$11))*1.3</f>
        <v>1547.2079999999999</v>
      </c>
      <c r="Q30" s="49">
        <f t="shared" si="0"/>
        <v>1369.2790799999998</v>
      </c>
    </row>
    <row r="31" spans="1:17" x14ac:dyDescent="0.25">
      <c r="A31" s="2"/>
      <c r="B31" s="2"/>
      <c r="C31" s="26"/>
      <c r="D31" s="2"/>
      <c r="E31" s="41"/>
      <c r="F31" s="41" t="s">
        <v>20</v>
      </c>
      <c r="G31" s="41"/>
      <c r="H31" s="41"/>
      <c r="I31" s="41"/>
      <c r="J31" s="41"/>
      <c r="K31" s="41"/>
      <c r="L31" s="41"/>
      <c r="M31" s="41"/>
      <c r="N31" s="41"/>
      <c r="O31" s="41"/>
      <c r="P31" s="49">
        <f>D$16*D$18*D$20*1.16*(D$22-SUMIF(Sheet2!$N$6:$N$11, 1,Sheet2!$H$6:$H$11))*1.3</f>
        <v>1612.3535999999999</v>
      </c>
      <c r="Q31" s="49">
        <f t="shared" si="0"/>
        <v>1426.9329359999999</v>
      </c>
    </row>
    <row r="32" spans="1:17" x14ac:dyDescent="0.25">
      <c r="A32" s="2"/>
      <c r="B32" s="2"/>
      <c r="C32" s="26"/>
      <c r="D32" s="2"/>
      <c r="E32" s="41"/>
      <c r="F32" s="41" t="s">
        <v>21</v>
      </c>
      <c r="G32" s="41"/>
      <c r="H32" s="41"/>
      <c r="I32" s="41"/>
      <c r="J32" s="41"/>
      <c r="K32" s="41"/>
      <c r="L32" s="41"/>
      <c r="M32" s="41"/>
      <c r="N32" s="41"/>
      <c r="O32" s="41"/>
      <c r="P32" s="49">
        <f>D$16*D$18*D$20*1.16*(D$22-SUMIF(Sheet2!$N$6:$N$11, 1,Sheet2!$I$6:$I$11))*1.3</f>
        <v>1506.492</v>
      </c>
      <c r="Q32" s="49">
        <f t="shared" si="0"/>
        <v>1333.24542</v>
      </c>
    </row>
    <row r="33" spans="1:17" x14ac:dyDescent="0.25">
      <c r="A33" s="2"/>
      <c r="B33" s="2"/>
      <c r="C33" s="26"/>
      <c r="D33" s="2"/>
      <c r="E33" s="41"/>
      <c r="F33" s="41" t="s">
        <v>22</v>
      </c>
      <c r="G33" s="41"/>
      <c r="H33" s="41"/>
      <c r="I33" s="41"/>
      <c r="J33" s="41"/>
      <c r="K33" s="41"/>
      <c r="L33" s="41"/>
      <c r="M33" s="41"/>
      <c r="N33" s="41"/>
      <c r="O33" s="41"/>
      <c r="P33" s="49">
        <f>D$16*D$18*D$20*1.16*(D$22-SUMIF(Sheet2!$N$6:$N$11, 1,Sheet2!$J$6:$J$11))*1.3</f>
        <v>1311.0552</v>
      </c>
      <c r="Q33" s="49">
        <f t="shared" si="0"/>
        <v>1160.283852</v>
      </c>
    </row>
    <row r="34" spans="1:17" x14ac:dyDescent="0.25">
      <c r="A34" s="2"/>
      <c r="B34" s="2"/>
      <c r="C34" s="26"/>
      <c r="D34" s="2"/>
      <c r="E34" s="41"/>
      <c r="F34" s="41" t="s">
        <v>23</v>
      </c>
      <c r="G34" s="41"/>
      <c r="H34" s="41"/>
      <c r="I34" s="41"/>
      <c r="J34" s="41"/>
      <c r="K34" s="41"/>
      <c r="L34" s="41"/>
      <c r="M34" s="41"/>
      <c r="N34" s="41"/>
      <c r="O34" s="41"/>
      <c r="P34" s="49">
        <f>D$16*D$18*D$20*1.16*(D$22-SUMIF(Sheet2!$N$6:$N$11, 1,Sheet2!$K$6:$K$11))*1.3</f>
        <v>1091.1887999999999</v>
      </c>
      <c r="Q34" s="49">
        <f t="shared" si="0"/>
        <v>965.70208799999989</v>
      </c>
    </row>
    <row r="35" spans="1:17" x14ac:dyDescent="0.25">
      <c r="A35" s="2"/>
      <c r="B35" s="2"/>
      <c r="C35" s="26"/>
      <c r="D35" s="2"/>
      <c r="E35" s="41"/>
      <c r="F35" s="41" t="s">
        <v>24</v>
      </c>
      <c r="G35" s="41"/>
      <c r="H35" s="41"/>
      <c r="I35" s="41"/>
      <c r="J35" s="41"/>
      <c r="K35" s="41"/>
      <c r="L35" s="41"/>
      <c r="M35" s="41"/>
      <c r="N35" s="41"/>
      <c r="O35" s="41"/>
      <c r="P35" s="49">
        <f>D$16*D$18*D$20*1.16*(D$22-SUMIF(Sheet2!$N$6:$N$11, 1,Sheet2!$L$6:$L$11))*1.3</f>
        <v>936.46799999999985</v>
      </c>
      <c r="Q35" s="49">
        <f t="shared" si="0"/>
        <v>828.77417999999989</v>
      </c>
    </row>
    <row r="36" spans="1:17" x14ac:dyDescent="0.25">
      <c r="A36" s="2"/>
      <c r="B36" s="2"/>
      <c r="C36" s="26"/>
      <c r="D36" s="2"/>
      <c r="E36" s="41"/>
      <c r="F36" s="41" t="s">
        <v>25</v>
      </c>
      <c r="G36" s="41"/>
      <c r="H36" s="41"/>
      <c r="I36" s="41"/>
      <c r="J36" s="41"/>
      <c r="K36" s="41"/>
      <c r="L36" s="41"/>
      <c r="M36" s="41"/>
      <c r="N36" s="41"/>
      <c r="O36" s="41"/>
      <c r="P36" s="49">
        <f>D$16*D$18*D$20*1.16*(D$22-SUMIF(Sheet2!$N$6:$N$11, 1,Sheet2!$M$6:$M$11))*1.3</f>
        <v>773.60399999999993</v>
      </c>
      <c r="Q36" s="49">
        <f t="shared" si="0"/>
        <v>684.6395399999999</v>
      </c>
    </row>
    <row r="37" spans="1:17" x14ac:dyDescent="0.25">
      <c r="A37" s="2"/>
      <c r="B37" s="2"/>
      <c r="C37" s="26"/>
      <c r="D37" s="2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2"/>
      <c r="Q37" s="35"/>
    </row>
    <row r="38" spans="1:17" x14ac:dyDescent="0.25">
      <c r="A38" s="2"/>
      <c r="B38" s="2"/>
      <c r="C38" s="2"/>
      <c r="D38" s="2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2"/>
      <c r="Q38" s="2"/>
    </row>
    <row r="39" spans="1:17" x14ac:dyDescent="0.25">
      <c r="A39" s="2"/>
      <c r="B39" s="2"/>
      <c r="C39" s="2"/>
      <c r="D39" s="2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2"/>
      <c r="Q39" s="2"/>
    </row>
    <row r="40" spans="1:17" x14ac:dyDescent="0.25">
      <c r="A40" s="2"/>
      <c r="B40" s="2"/>
      <c r="C40" s="2"/>
      <c r="D40" s="2"/>
      <c r="E40" s="3"/>
      <c r="F40" s="3"/>
      <c r="G40" s="22"/>
      <c r="H40" s="27" t="s">
        <v>26</v>
      </c>
      <c r="I40" s="27" t="s">
        <v>27</v>
      </c>
      <c r="J40" s="27" t="s">
        <v>28</v>
      </c>
      <c r="K40" s="27"/>
      <c r="L40" s="27" t="s">
        <v>13</v>
      </c>
      <c r="M40" s="27" t="s">
        <v>29</v>
      </c>
      <c r="N40" s="27"/>
      <c r="O40" s="3"/>
      <c r="P40" s="28"/>
      <c r="Q40" s="28"/>
    </row>
    <row r="41" spans="1:17" x14ac:dyDescent="0.25">
      <c r="A41" s="2"/>
      <c r="B41" s="2"/>
      <c r="C41" s="2"/>
      <c r="D41" s="2"/>
      <c r="E41" s="3"/>
      <c r="F41" s="3"/>
      <c r="G41" s="22"/>
      <c r="H41" s="22" t="s">
        <v>30</v>
      </c>
      <c r="I41" s="22">
        <v>9</v>
      </c>
      <c r="J41" s="29">
        <f>I41*0.73</f>
        <v>6.57</v>
      </c>
      <c r="K41" s="30"/>
      <c r="L41" s="27">
        <v>9</v>
      </c>
      <c r="M41" s="22" t="s">
        <v>73</v>
      </c>
      <c r="N41" s="22">
        <f>IF(G42&gt;MAX(L41:L47),"Error",INDEX(L41:L47,MATCH(LARGE(L41:L47,COUNTIF(L41:L47,"&gt;="&amp;G42)),L41:L47,0)))</f>
        <v>40</v>
      </c>
      <c r="O41" s="31"/>
      <c r="P41" s="28"/>
      <c r="Q41" s="28"/>
    </row>
    <row r="42" spans="1:17" ht="25.5" customHeight="1" x14ac:dyDescent="0.25">
      <c r="A42" s="4"/>
      <c r="B42" s="36" t="s">
        <v>31</v>
      </c>
      <c r="C42" s="36"/>
      <c r="D42" s="36"/>
      <c r="E42" s="36"/>
      <c r="F42" s="36"/>
      <c r="G42" s="37">
        <f>IF(D24="Spring to Autumn",P34/48,IF(D24="All Year Round",P31/48))</f>
        <v>33.590699999999998</v>
      </c>
      <c r="H42" s="36" t="s">
        <v>30</v>
      </c>
      <c r="I42" s="36">
        <v>14</v>
      </c>
      <c r="J42" s="38">
        <f>I42*0.73</f>
        <v>10.219999999999999</v>
      </c>
      <c r="K42" s="39"/>
      <c r="L42" s="40">
        <v>14</v>
      </c>
      <c r="M42" s="39" t="s">
        <v>74</v>
      </c>
      <c r="N42" s="39"/>
      <c r="O42" s="39"/>
      <c r="P42" s="63" t="str">
        <f>VLOOKUP(N41,L41:M47,2,FALSE)</f>
        <v>LC 140 T 3 Phase</v>
      </c>
      <c r="Q42" s="63"/>
    </row>
    <row r="43" spans="1:17" x14ac:dyDescent="0.25">
      <c r="A43" s="3"/>
      <c r="B43" s="3"/>
      <c r="C43" s="3"/>
      <c r="D43" s="3"/>
      <c r="E43" s="3"/>
      <c r="F43" s="3"/>
      <c r="G43" s="22"/>
      <c r="H43" s="22" t="s">
        <v>30</v>
      </c>
      <c r="I43" s="22">
        <v>19</v>
      </c>
      <c r="J43" s="29">
        <f>I43*0.73</f>
        <v>13.87</v>
      </c>
      <c r="K43" s="22"/>
      <c r="L43" s="32">
        <v>19</v>
      </c>
      <c r="M43" s="22" t="s">
        <v>75</v>
      </c>
      <c r="N43" s="22"/>
      <c r="O43" s="3"/>
      <c r="P43" s="2"/>
      <c r="Q43" s="2"/>
    </row>
    <row r="44" spans="1:17" x14ac:dyDescent="0.25">
      <c r="A44" s="3"/>
      <c r="B44" s="3"/>
      <c r="C44" s="3"/>
      <c r="D44" s="3"/>
      <c r="E44" s="3"/>
      <c r="F44" s="3"/>
      <c r="G44" s="22"/>
      <c r="H44" s="22" t="s">
        <v>30</v>
      </c>
      <c r="I44" s="22">
        <v>22</v>
      </c>
      <c r="J44" s="29">
        <v>15</v>
      </c>
      <c r="K44" s="22"/>
      <c r="L44" s="32">
        <v>22</v>
      </c>
      <c r="M44" s="22" t="s">
        <v>76</v>
      </c>
      <c r="N44" s="22"/>
      <c r="O44" s="3"/>
      <c r="P44" s="2"/>
      <c r="Q44" s="2"/>
    </row>
    <row r="45" spans="1:17" x14ac:dyDescent="0.25">
      <c r="A45" s="3"/>
      <c r="B45" s="3"/>
      <c r="C45" s="3"/>
      <c r="D45" s="3"/>
      <c r="E45" s="3"/>
      <c r="F45" s="3"/>
      <c r="G45" s="22"/>
      <c r="H45" s="22" t="s">
        <v>30</v>
      </c>
      <c r="I45" s="22">
        <v>25</v>
      </c>
      <c r="J45" s="29">
        <v>18</v>
      </c>
      <c r="K45" s="22"/>
      <c r="L45" s="32">
        <v>25</v>
      </c>
      <c r="M45" s="22" t="s">
        <v>67</v>
      </c>
      <c r="N45" s="22"/>
      <c r="O45" s="3"/>
      <c r="P45" s="2"/>
      <c r="Q45" s="2"/>
    </row>
    <row r="46" spans="1:17" x14ac:dyDescent="0.25">
      <c r="A46" s="3"/>
      <c r="B46" s="3"/>
      <c r="C46" s="3"/>
      <c r="D46" s="3"/>
      <c r="E46" s="3"/>
      <c r="F46" s="3"/>
      <c r="G46" s="22"/>
      <c r="H46" s="22" t="s">
        <v>32</v>
      </c>
      <c r="I46" s="22">
        <v>30</v>
      </c>
      <c r="J46" s="22">
        <v>22</v>
      </c>
      <c r="K46" s="22"/>
      <c r="L46" s="27">
        <v>31</v>
      </c>
      <c r="M46" s="22" t="s">
        <v>77</v>
      </c>
      <c r="N46" s="22"/>
      <c r="O46" s="3"/>
      <c r="P46" s="2"/>
      <c r="Q46" s="2"/>
    </row>
    <row r="47" spans="1:17" x14ac:dyDescent="0.25">
      <c r="A47" s="3"/>
      <c r="B47" s="3"/>
      <c r="C47" s="3"/>
      <c r="D47" s="3"/>
      <c r="E47" s="3"/>
      <c r="F47" s="3"/>
      <c r="G47" s="22"/>
      <c r="H47" s="22" t="s">
        <v>32</v>
      </c>
      <c r="I47" s="22">
        <v>40</v>
      </c>
      <c r="J47" s="22">
        <v>30</v>
      </c>
      <c r="K47" s="22"/>
      <c r="L47" s="27">
        <v>40</v>
      </c>
      <c r="M47" s="22" t="s">
        <v>72</v>
      </c>
      <c r="N47" s="22"/>
      <c r="O47" s="3"/>
      <c r="P47" s="2"/>
      <c r="Q47" s="2"/>
    </row>
    <row r="48" spans="1:17" x14ac:dyDescent="0.25">
      <c r="A48" s="3"/>
      <c r="B48" s="3"/>
      <c r="C48" s="3"/>
      <c r="D48" s="3"/>
      <c r="E48" s="3"/>
      <c r="F48" s="3"/>
      <c r="G48" s="22"/>
      <c r="H48" s="22"/>
      <c r="I48" s="22"/>
      <c r="J48" s="29"/>
      <c r="K48" s="22"/>
      <c r="L48" s="30"/>
      <c r="M48" s="22"/>
      <c r="N48" s="22"/>
      <c r="O48" s="3"/>
      <c r="P48" s="2"/>
      <c r="Q48" s="2"/>
    </row>
    <row r="49" spans="1:17" x14ac:dyDescent="0.25">
      <c r="A49" s="3"/>
      <c r="B49" s="3"/>
      <c r="C49" s="3"/>
      <c r="D49" s="3"/>
      <c r="E49" s="3"/>
      <c r="F49" s="3"/>
      <c r="G49" s="22"/>
      <c r="H49" s="22"/>
      <c r="I49" s="22"/>
      <c r="J49" s="29"/>
      <c r="K49" s="22"/>
      <c r="L49" s="30"/>
      <c r="M49" s="22"/>
      <c r="N49" s="22"/>
      <c r="O49" s="3"/>
      <c r="P49" s="2"/>
      <c r="Q49" s="2"/>
    </row>
    <row r="50" spans="1:17" x14ac:dyDescent="0.25">
      <c r="A50" s="3"/>
      <c r="B50" s="3"/>
      <c r="C50" s="3"/>
      <c r="D50" s="3"/>
      <c r="E50" s="3"/>
      <c r="F50" s="3"/>
      <c r="G50" s="22"/>
      <c r="H50" s="22"/>
      <c r="I50" s="22"/>
      <c r="J50" s="29"/>
      <c r="K50" s="22"/>
      <c r="L50" s="30"/>
      <c r="M50" s="22"/>
      <c r="N50" s="22"/>
      <c r="O50" s="3"/>
      <c r="P50" s="2"/>
      <c r="Q50" s="2"/>
    </row>
    <row r="51" spans="1:17" x14ac:dyDescent="0.25">
      <c r="A51" s="3"/>
      <c r="B51" s="3"/>
      <c r="C51" s="3"/>
      <c r="D51" s="3"/>
      <c r="E51" s="3"/>
      <c r="F51" s="3"/>
      <c r="G51" s="22"/>
      <c r="H51" s="22"/>
      <c r="I51" s="22"/>
      <c r="J51" s="29"/>
      <c r="K51" s="22"/>
      <c r="L51" s="30"/>
      <c r="M51" s="22"/>
      <c r="N51" s="22"/>
      <c r="O51" s="3"/>
      <c r="P51" s="2"/>
      <c r="Q51" s="2"/>
    </row>
    <row r="52" spans="1:17" x14ac:dyDescent="0.25">
      <c r="A52" s="3"/>
      <c r="B52" s="3"/>
      <c r="C52" s="3"/>
      <c r="D52" s="3"/>
      <c r="E52" s="3"/>
      <c r="F52" s="3"/>
      <c r="G52" s="22"/>
      <c r="H52" s="22"/>
      <c r="I52" s="22"/>
      <c r="J52" s="29"/>
      <c r="K52" s="22"/>
      <c r="L52" s="30"/>
      <c r="M52" s="22"/>
      <c r="N52" s="22"/>
      <c r="O52" s="3"/>
      <c r="P52" s="2"/>
      <c r="Q52" s="2"/>
    </row>
    <row r="53" spans="1:17" x14ac:dyDescent="0.25">
      <c r="A53" s="3"/>
      <c r="B53" s="3"/>
      <c r="C53" s="3"/>
      <c r="D53" s="3"/>
      <c r="E53" s="3"/>
      <c r="F53" s="3"/>
      <c r="G53" s="22"/>
      <c r="H53" s="22"/>
      <c r="I53" s="22"/>
      <c r="J53" s="29"/>
      <c r="K53" s="22"/>
      <c r="L53" s="30"/>
      <c r="M53" s="22"/>
      <c r="N53" s="22"/>
      <c r="O53" s="3"/>
      <c r="P53" s="2"/>
      <c r="Q53" s="2"/>
    </row>
    <row r="54" spans="1:17" x14ac:dyDescent="0.25">
      <c r="A54" s="3"/>
      <c r="B54" s="3"/>
      <c r="C54" s="3"/>
      <c r="D54" s="3"/>
      <c r="E54" s="3"/>
      <c r="F54" s="3"/>
      <c r="G54" s="22"/>
      <c r="H54" s="22"/>
      <c r="I54" s="22"/>
      <c r="J54" s="29"/>
      <c r="K54" s="22"/>
      <c r="L54" s="30"/>
      <c r="M54" s="22"/>
      <c r="N54" s="22"/>
      <c r="O54" s="3"/>
      <c r="P54" s="2"/>
      <c r="Q54" s="2"/>
    </row>
    <row r="55" spans="1:17" x14ac:dyDescent="0.25">
      <c r="A55" s="3"/>
      <c r="B55" s="3"/>
      <c r="C55" s="3"/>
      <c r="D55" s="3"/>
      <c r="E55" s="3"/>
      <c r="F55" s="3"/>
      <c r="G55" s="22"/>
      <c r="H55" s="22"/>
      <c r="I55" s="22"/>
      <c r="J55" s="29"/>
      <c r="K55" s="22"/>
      <c r="L55" s="30"/>
      <c r="M55" s="22"/>
      <c r="N55" s="22"/>
      <c r="O55" s="3"/>
      <c r="P55" s="2"/>
      <c r="Q55" s="2"/>
    </row>
    <row r="56" spans="1:17" x14ac:dyDescent="0.25">
      <c r="A56" s="3"/>
      <c r="B56" s="3"/>
      <c r="C56" s="3"/>
      <c r="D56" s="3"/>
      <c r="E56" s="3"/>
      <c r="F56" s="3"/>
      <c r="G56" s="22"/>
      <c r="H56" s="22"/>
      <c r="I56" s="22"/>
      <c r="J56" s="29"/>
      <c r="K56" s="22"/>
      <c r="L56" s="30"/>
      <c r="M56" s="22"/>
      <c r="N56" s="22"/>
      <c r="O56" s="3"/>
      <c r="P56" s="2"/>
      <c r="Q56" s="2"/>
    </row>
    <row r="57" spans="1:17" x14ac:dyDescent="0.25">
      <c r="A57" s="3"/>
      <c r="B57" s="3"/>
      <c r="C57" s="3"/>
      <c r="D57" s="3"/>
      <c r="E57" s="3"/>
      <c r="F57" s="3"/>
      <c r="G57" s="22"/>
      <c r="H57" s="22"/>
      <c r="I57" s="22"/>
      <c r="J57" s="29"/>
      <c r="K57" s="22"/>
      <c r="L57" s="30"/>
      <c r="M57" s="22"/>
      <c r="N57" s="22"/>
      <c r="O57" s="3"/>
      <c r="P57" s="2"/>
      <c r="Q57" s="2"/>
    </row>
    <row r="58" spans="1:17" hidden="1" x14ac:dyDescent="0.25">
      <c r="A58" s="3"/>
      <c r="B58" s="3"/>
      <c r="C58" s="3"/>
      <c r="D58" s="3"/>
      <c r="E58" s="3"/>
      <c r="F58" s="3"/>
      <c r="G58" s="22"/>
      <c r="H58" s="22"/>
      <c r="I58" s="22"/>
      <c r="J58" s="29"/>
      <c r="K58" s="22"/>
      <c r="L58" s="30"/>
      <c r="M58" s="22"/>
      <c r="N58" s="22"/>
      <c r="O58" s="3"/>
      <c r="P58" s="2"/>
      <c r="Q58" s="2"/>
    </row>
    <row r="59" spans="1:17" hidden="1" x14ac:dyDescent="0.25">
      <c r="A59" s="3"/>
      <c r="B59" s="3"/>
      <c r="C59" s="3"/>
      <c r="D59" s="3"/>
      <c r="E59" s="3"/>
      <c r="F59" s="3"/>
      <c r="G59" s="22"/>
      <c r="H59" s="22"/>
      <c r="I59" s="22"/>
      <c r="J59" s="29"/>
      <c r="K59" s="22"/>
      <c r="L59" s="30"/>
      <c r="M59" s="22"/>
      <c r="N59" s="22"/>
      <c r="O59" s="3"/>
      <c r="P59" s="2"/>
      <c r="Q59" s="2"/>
    </row>
    <row r="60" spans="1:17" hidden="1" x14ac:dyDescent="0.25">
      <c r="A60" s="3"/>
      <c r="B60" s="3"/>
      <c r="C60" s="3"/>
      <c r="D60" s="3"/>
      <c r="E60" s="3"/>
      <c r="F60" s="3"/>
      <c r="G60" s="22"/>
      <c r="H60" s="22"/>
      <c r="I60" s="22"/>
      <c r="J60" s="29"/>
      <c r="K60" s="22"/>
      <c r="L60" s="30"/>
      <c r="M60" s="22"/>
      <c r="N60" s="22"/>
      <c r="O60" s="3"/>
      <c r="P60" s="2"/>
      <c r="Q60" s="2"/>
    </row>
    <row r="61" spans="1:17" hidden="1" x14ac:dyDescent="0.25">
      <c r="A61" s="3"/>
      <c r="B61" s="3"/>
      <c r="C61" s="3"/>
      <c r="D61" s="3"/>
      <c r="E61" s="3"/>
      <c r="F61" s="3"/>
      <c r="G61" s="22"/>
      <c r="H61" s="22"/>
      <c r="I61" s="22"/>
      <c r="J61" s="29"/>
      <c r="K61" s="22"/>
      <c r="L61" s="30"/>
      <c r="M61" s="22"/>
      <c r="N61" s="22"/>
      <c r="O61" s="3"/>
      <c r="P61" s="2"/>
      <c r="Q61" s="2"/>
    </row>
    <row r="62" spans="1:17" hidden="1" x14ac:dyDescent="0.25">
      <c r="A62" s="3"/>
      <c r="B62" s="3"/>
      <c r="C62" s="3"/>
      <c r="D62" s="3"/>
      <c r="E62" s="3"/>
      <c r="F62" s="3"/>
      <c r="G62" s="22"/>
      <c r="H62" s="22"/>
      <c r="I62" s="22"/>
      <c r="J62" s="29"/>
      <c r="K62" s="22"/>
      <c r="L62" s="30"/>
      <c r="M62" s="22"/>
      <c r="N62" s="22"/>
      <c r="O62" s="3"/>
      <c r="P62" s="2"/>
      <c r="Q62" s="2"/>
    </row>
    <row r="63" spans="1:17" x14ac:dyDescent="0.25">
      <c r="A63" s="3"/>
      <c r="B63" s="41"/>
      <c r="C63" s="41"/>
      <c r="D63" s="41"/>
      <c r="E63" s="41"/>
      <c r="F63" s="41"/>
      <c r="G63" s="42"/>
      <c r="H63" s="22"/>
      <c r="I63" s="22"/>
      <c r="J63" s="29"/>
      <c r="K63" s="22"/>
      <c r="L63" s="30"/>
      <c r="M63" s="22"/>
      <c r="N63" s="22"/>
      <c r="O63" s="45" t="s">
        <v>33</v>
      </c>
      <c r="P63" s="41"/>
      <c r="Q63" s="41"/>
    </row>
    <row r="64" spans="1:17" x14ac:dyDescent="0.25">
      <c r="H64" s="42"/>
      <c r="I64" s="42"/>
      <c r="J64" s="43"/>
      <c r="K64" s="42"/>
      <c r="L64" s="44"/>
      <c r="M64" s="42"/>
      <c r="N64" s="42"/>
    </row>
    <row r="65" spans="1:17" x14ac:dyDescent="0.25">
      <c r="A65" s="2"/>
      <c r="C65" s="2"/>
      <c r="E65" s="3"/>
      <c r="G65" s="22"/>
      <c r="O65" s="3"/>
      <c r="P65" s="2"/>
      <c r="Q65" s="2"/>
    </row>
    <row r="66" spans="1:17" x14ac:dyDescent="0.25">
      <c r="A66" s="3"/>
      <c r="B66" s="3"/>
      <c r="C66" s="3"/>
      <c r="D66" s="5"/>
      <c r="E66" s="3"/>
      <c r="F66" s="3"/>
      <c r="G66" s="22"/>
      <c r="H66" s="22"/>
      <c r="I66" s="22"/>
      <c r="J66" s="22"/>
      <c r="K66" s="22"/>
      <c r="L66" s="22"/>
      <c r="M66" s="22"/>
      <c r="N66" s="22"/>
      <c r="O66" s="3"/>
      <c r="P66" s="2"/>
      <c r="Q66" s="2"/>
    </row>
    <row r="67" spans="1:17" x14ac:dyDescent="0.25">
      <c r="A67" s="3"/>
      <c r="B67" s="3"/>
      <c r="C67" s="3"/>
      <c r="D67" s="5"/>
      <c r="E67" s="3"/>
      <c r="F67" s="3"/>
      <c r="G67" s="22"/>
      <c r="H67" s="22"/>
      <c r="I67" s="22"/>
      <c r="J67" s="22"/>
      <c r="K67" s="22"/>
      <c r="L67" s="22"/>
      <c r="M67" s="22"/>
      <c r="N67" s="22"/>
      <c r="O67" s="3"/>
      <c r="P67" s="2"/>
      <c r="Q67" s="2"/>
    </row>
    <row r="68" spans="1:17" x14ac:dyDescent="0.25">
      <c r="A68" s="3"/>
      <c r="B68" s="41" t="s">
        <v>68</v>
      </c>
      <c r="C68" s="41"/>
      <c r="D68" s="41"/>
      <c r="E68" s="41"/>
      <c r="F68" s="41"/>
      <c r="G68" s="42"/>
      <c r="H68" s="22"/>
      <c r="I68" s="22"/>
      <c r="J68" s="22"/>
      <c r="K68" s="22"/>
      <c r="L68" s="22"/>
      <c r="M68" s="22"/>
      <c r="N68" s="22"/>
      <c r="O68" s="45" t="s">
        <v>34</v>
      </c>
      <c r="P68" s="41"/>
      <c r="Q68" s="61">
        <v>28</v>
      </c>
    </row>
    <row r="69" spans="1:17" ht="26.25" x14ac:dyDescent="0.25">
      <c r="A69" s="3"/>
      <c r="B69" s="3"/>
      <c r="C69" s="3"/>
      <c r="D69" s="5"/>
      <c r="E69" s="41"/>
      <c r="F69" s="41"/>
      <c r="G69" s="42"/>
      <c r="H69" s="42"/>
      <c r="I69" s="42"/>
      <c r="J69" s="42"/>
      <c r="K69" s="42"/>
      <c r="L69" s="42"/>
      <c r="M69" s="42"/>
      <c r="N69" s="42"/>
      <c r="O69" s="39"/>
      <c r="P69" s="46" t="s">
        <v>10</v>
      </c>
      <c r="Q69" s="47" t="s">
        <v>11</v>
      </c>
    </row>
    <row r="70" spans="1:17" x14ac:dyDescent="0.25">
      <c r="A70" s="3"/>
      <c r="B70" s="3"/>
      <c r="C70" s="3"/>
      <c r="D70" s="3"/>
      <c r="E70" s="39"/>
      <c r="F70" s="39" t="s">
        <v>14</v>
      </c>
      <c r="G70" s="39"/>
      <c r="H70" s="42"/>
      <c r="I70" s="42"/>
      <c r="J70" s="42"/>
      <c r="K70" s="42"/>
      <c r="L70" s="42"/>
      <c r="M70" s="42"/>
      <c r="N70" s="39"/>
      <c r="O70" s="39"/>
      <c r="P70" s="54">
        <f t="shared" ref="P70:Q81" si="1">P25*$Q$68/100/8</f>
        <v>22.515947999999995</v>
      </c>
      <c r="Q70" s="55">
        <f t="shared" si="1"/>
        <v>19.926613979999996</v>
      </c>
    </row>
    <row r="71" spans="1:17" x14ac:dyDescent="0.25">
      <c r="A71" s="3"/>
      <c r="B71" s="2"/>
      <c r="C71" s="3"/>
      <c r="D71" s="3"/>
      <c r="E71" s="39"/>
      <c r="F71" s="39" t="s">
        <v>15</v>
      </c>
      <c r="G71" s="39"/>
      <c r="H71" s="39"/>
      <c r="I71" s="39"/>
      <c r="J71" s="39"/>
      <c r="K71" s="39"/>
      <c r="L71" s="39"/>
      <c r="M71" s="39"/>
      <c r="N71" s="39"/>
      <c r="O71" s="39"/>
      <c r="P71" s="54">
        <f t="shared" si="1"/>
        <v>23.370983999999993</v>
      </c>
      <c r="Q71" s="55">
        <f t="shared" si="1"/>
        <v>20.683320839999997</v>
      </c>
    </row>
    <row r="72" spans="1:17" x14ac:dyDescent="0.25">
      <c r="A72" s="3"/>
      <c r="B72" s="2"/>
      <c r="C72" s="3"/>
      <c r="D72" s="3"/>
      <c r="E72" s="39"/>
      <c r="F72" s="39" t="s">
        <v>16</v>
      </c>
      <c r="G72" s="39"/>
      <c r="H72" s="39"/>
      <c r="I72" s="39"/>
      <c r="J72" s="39"/>
      <c r="K72" s="39"/>
      <c r="L72" s="39"/>
      <c r="M72" s="39"/>
      <c r="N72" s="39"/>
      <c r="O72" s="39"/>
      <c r="P72" s="54">
        <f t="shared" si="1"/>
        <v>29.64124799999999</v>
      </c>
      <c r="Q72" s="55">
        <f t="shared" si="1"/>
        <v>26.232504479999992</v>
      </c>
    </row>
    <row r="73" spans="1:17" x14ac:dyDescent="0.25">
      <c r="A73" s="3"/>
      <c r="B73" s="3"/>
      <c r="C73" s="3"/>
      <c r="D73" s="3"/>
      <c r="E73" s="39"/>
      <c r="F73" s="39" t="s">
        <v>17</v>
      </c>
      <c r="G73" s="39"/>
      <c r="H73" s="39"/>
      <c r="I73" s="39"/>
      <c r="J73" s="39"/>
      <c r="K73" s="39"/>
      <c r="L73" s="39"/>
      <c r="M73" s="39"/>
      <c r="N73" s="39"/>
      <c r="O73" s="39"/>
      <c r="P73" s="54">
        <f t="shared" si="1"/>
        <v>38.191607999999995</v>
      </c>
      <c r="Q73" s="55">
        <f t="shared" si="1"/>
        <v>33.799573079999995</v>
      </c>
    </row>
    <row r="74" spans="1:17" x14ac:dyDescent="0.25">
      <c r="A74" s="3"/>
      <c r="B74" s="3"/>
      <c r="C74" s="3"/>
      <c r="D74" s="3"/>
      <c r="E74" s="39"/>
      <c r="F74" s="39" t="s">
        <v>18</v>
      </c>
      <c r="G74" s="39"/>
      <c r="H74" s="39"/>
      <c r="I74" s="39"/>
      <c r="J74" s="39"/>
      <c r="K74" s="39"/>
      <c r="L74" s="39"/>
      <c r="M74" s="39"/>
      <c r="N74" s="39"/>
      <c r="O74" s="39"/>
      <c r="P74" s="54">
        <f t="shared" si="1"/>
        <v>47.882015999999993</v>
      </c>
      <c r="Q74" s="55">
        <f t="shared" si="1"/>
        <v>42.375584159999995</v>
      </c>
    </row>
    <row r="75" spans="1:17" x14ac:dyDescent="0.25">
      <c r="A75" s="3"/>
      <c r="B75" s="3"/>
      <c r="C75" s="3"/>
      <c r="D75" s="3"/>
      <c r="E75" s="39"/>
      <c r="F75" s="39" t="s">
        <v>19</v>
      </c>
      <c r="G75" s="39"/>
      <c r="H75" s="39"/>
      <c r="I75" s="39"/>
      <c r="J75" s="39"/>
      <c r="K75" s="39"/>
      <c r="L75" s="39"/>
      <c r="M75" s="39"/>
      <c r="N75" s="39"/>
      <c r="O75" s="39"/>
      <c r="P75" s="54">
        <f t="shared" si="1"/>
        <v>54.15227999999999</v>
      </c>
      <c r="Q75" s="55">
        <f t="shared" si="1"/>
        <v>47.924767799999991</v>
      </c>
    </row>
    <row r="76" spans="1:17" x14ac:dyDescent="0.25">
      <c r="A76" s="3"/>
      <c r="B76" s="3"/>
      <c r="C76" s="3"/>
      <c r="D76" s="3"/>
      <c r="E76" s="39"/>
      <c r="F76" s="39" t="s">
        <v>20</v>
      </c>
      <c r="G76" s="39"/>
      <c r="H76" s="39"/>
      <c r="I76" s="39"/>
      <c r="J76" s="39"/>
      <c r="K76" s="39"/>
      <c r="L76" s="39"/>
      <c r="M76" s="39"/>
      <c r="N76" s="39"/>
      <c r="O76" s="39"/>
      <c r="P76" s="54">
        <f t="shared" si="1"/>
        <v>56.432375999999998</v>
      </c>
      <c r="Q76" s="55">
        <f t="shared" si="1"/>
        <v>49.942652760000001</v>
      </c>
    </row>
    <row r="77" spans="1:17" x14ac:dyDescent="0.25">
      <c r="A77" s="3"/>
      <c r="B77" s="3"/>
      <c r="C77" s="3"/>
      <c r="D77" s="3"/>
      <c r="E77" s="39"/>
      <c r="F77" s="39" t="s">
        <v>21</v>
      </c>
      <c r="G77" s="39"/>
      <c r="H77" s="39"/>
      <c r="I77" s="39"/>
      <c r="J77" s="39"/>
      <c r="K77" s="39"/>
      <c r="L77" s="39"/>
      <c r="M77" s="39"/>
      <c r="N77" s="39"/>
      <c r="O77" s="39"/>
      <c r="P77" s="54">
        <f t="shared" si="1"/>
        <v>52.727219999999996</v>
      </c>
      <c r="Q77" s="55">
        <f t="shared" si="1"/>
        <v>46.663589700000003</v>
      </c>
    </row>
    <row r="78" spans="1:17" x14ac:dyDescent="0.25">
      <c r="A78" s="3"/>
      <c r="B78" s="3"/>
      <c r="C78" s="3"/>
      <c r="D78" s="3"/>
      <c r="E78" s="39"/>
      <c r="F78" s="39" t="s">
        <v>22</v>
      </c>
      <c r="G78" s="39"/>
      <c r="H78" s="39"/>
      <c r="I78" s="39"/>
      <c r="J78" s="39"/>
      <c r="K78" s="39"/>
      <c r="L78" s="39"/>
      <c r="M78" s="39"/>
      <c r="N78" s="39"/>
      <c r="O78" s="39"/>
      <c r="P78" s="54">
        <f t="shared" si="1"/>
        <v>45.886931999999995</v>
      </c>
      <c r="Q78" s="55">
        <f t="shared" si="1"/>
        <v>40.609934819999999</v>
      </c>
    </row>
    <row r="79" spans="1:17" x14ac:dyDescent="0.25">
      <c r="A79" s="3"/>
      <c r="B79" s="3"/>
      <c r="C79" s="3"/>
      <c r="D79" s="3"/>
      <c r="E79" s="39"/>
      <c r="F79" s="39" t="s">
        <v>23</v>
      </c>
      <c r="G79" s="39"/>
      <c r="H79" s="39"/>
      <c r="I79" s="39"/>
      <c r="J79" s="39"/>
      <c r="K79" s="39"/>
      <c r="L79" s="39"/>
      <c r="M79" s="39"/>
      <c r="N79" s="39"/>
      <c r="O79" s="39"/>
      <c r="P79" s="54">
        <f t="shared" si="1"/>
        <v>38.191607999999995</v>
      </c>
      <c r="Q79" s="55">
        <f t="shared" si="1"/>
        <v>33.799573079999995</v>
      </c>
    </row>
    <row r="80" spans="1:17" x14ac:dyDescent="0.25">
      <c r="A80" s="3"/>
      <c r="B80" s="3"/>
      <c r="C80" s="3"/>
      <c r="D80" s="3"/>
      <c r="E80" s="39"/>
      <c r="F80" s="39" t="s">
        <v>24</v>
      </c>
      <c r="G80" s="39"/>
      <c r="H80" s="39"/>
      <c r="I80" s="39"/>
      <c r="J80" s="39"/>
      <c r="K80" s="39"/>
      <c r="L80" s="39"/>
      <c r="M80" s="39"/>
      <c r="N80" s="39"/>
      <c r="O80" s="39"/>
      <c r="P80" s="54">
        <f t="shared" si="1"/>
        <v>32.776379999999996</v>
      </c>
      <c r="Q80" s="55">
        <f t="shared" si="1"/>
        <v>29.007096299999994</v>
      </c>
    </row>
    <row r="81" spans="1:17" ht="3.75" customHeight="1" x14ac:dyDescent="0.25">
      <c r="A81" s="3"/>
      <c r="B81" s="3"/>
      <c r="C81" s="3"/>
      <c r="D81" s="3"/>
      <c r="E81" s="39"/>
      <c r="F81" s="39" t="s">
        <v>25</v>
      </c>
      <c r="G81" s="39"/>
      <c r="H81" s="39"/>
      <c r="I81" s="39"/>
      <c r="J81" s="39"/>
      <c r="K81" s="39"/>
      <c r="L81" s="39"/>
      <c r="M81" s="39"/>
      <c r="N81" s="39"/>
      <c r="O81" s="41"/>
      <c r="P81" s="54">
        <f t="shared" si="1"/>
        <v>27.076139999999995</v>
      </c>
      <c r="Q81" s="55">
        <f t="shared" si="1"/>
        <v>23.962383899999995</v>
      </c>
    </row>
    <row r="82" spans="1:17" x14ac:dyDescent="0.25">
      <c r="A82" s="3"/>
      <c r="B82" s="3"/>
      <c r="C82" s="3"/>
      <c r="D82" s="3"/>
      <c r="E82" s="41"/>
      <c r="F82" s="41"/>
      <c r="G82" s="41"/>
      <c r="H82" s="39"/>
      <c r="I82" s="39"/>
      <c r="J82" s="39"/>
      <c r="K82" s="39"/>
      <c r="L82" s="39"/>
      <c r="M82" s="39"/>
      <c r="N82" s="41"/>
      <c r="O82" s="41"/>
      <c r="P82" s="56"/>
      <c r="Q82" s="56"/>
    </row>
    <row r="83" spans="1:17" ht="26.25" x14ac:dyDescent="0.25">
      <c r="A83" s="3"/>
      <c r="B83" s="3"/>
      <c r="C83" s="3"/>
      <c r="D83" s="3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39"/>
      <c r="P83" s="46" t="s">
        <v>10</v>
      </c>
      <c r="Q83" s="47" t="s">
        <v>11</v>
      </c>
    </row>
    <row r="84" spans="1:17" x14ac:dyDescent="0.25">
      <c r="A84" s="3"/>
      <c r="B84" s="3"/>
      <c r="C84" s="3"/>
      <c r="D84" s="3"/>
      <c r="E84" s="39"/>
      <c r="F84" s="39" t="s">
        <v>14</v>
      </c>
      <c r="G84" s="39"/>
      <c r="H84" s="41"/>
      <c r="I84" s="41"/>
      <c r="J84" s="41"/>
      <c r="K84" s="41"/>
      <c r="L84" s="41"/>
      <c r="M84" s="41"/>
      <c r="N84" s="39"/>
      <c r="O84" s="39"/>
      <c r="P84" s="54">
        <f t="shared" ref="P84:P95" si="2">(P25*0.3)/8*$Q$68/100</f>
        <v>6.7547843999999984</v>
      </c>
      <c r="Q84" s="57">
        <f>P84*0.6</f>
        <v>4.0528706399999992</v>
      </c>
    </row>
    <row r="85" spans="1:17" x14ac:dyDescent="0.25">
      <c r="A85" s="3"/>
      <c r="B85" s="2"/>
      <c r="C85" s="3"/>
      <c r="D85" s="3"/>
      <c r="E85" s="39"/>
      <c r="F85" s="39" t="s">
        <v>15</v>
      </c>
      <c r="G85" s="39"/>
      <c r="H85" s="39"/>
      <c r="I85" s="39"/>
      <c r="J85" s="39"/>
      <c r="K85" s="39"/>
      <c r="L85" s="39"/>
      <c r="M85" s="39"/>
      <c r="N85" s="39"/>
      <c r="O85" s="39"/>
      <c r="P85" s="54">
        <f t="shared" si="2"/>
        <v>7.0112951999999984</v>
      </c>
      <c r="Q85" s="57">
        <f t="shared" ref="Q85:Q95" si="3">P85*0.6</f>
        <v>4.206777119999999</v>
      </c>
    </row>
    <row r="86" spans="1:17" x14ac:dyDescent="0.25">
      <c r="A86" s="3"/>
      <c r="B86" s="3"/>
      <c r="C86" s="3"/>
      <c r="D86" s="3"/>
      <c r="E86" s="39"/>
      <c r="F86" s="39" t="s">
        <v>16</v>
      </c>
      <c r="G86" s="39"/>
      <c r="H86" s="39"/>
      <c r="I86" s="39"/>
      <c r="J86" s="39"/>
      <c r="K86" s="39"/>
      <c r="L86" s="39"/>
      <c r="M86" s="39"/>
      <c r="N86" s="39"/>
      <c r="O86" s="39"/>
      <c r="P86" s="54">
        <f t="shared" si="2"/>
        <v>8.892374399999996</v>
      </c>
      <c r="Q86" s="57">
        <f t="shared" si="3"/>
        <v>5.3354246399999976</v>
      </c>
    </row>
    <row r="87" spans="1:17" x14ac:dyDescent="0.25">
      <c r="A87" s="3"/>
      <c r="B87" s="3"/>
      <c r="C87" s="3"/>
      <c r="D87" s="3"/>
      <c r="E87" s="39"/>
      <c r="F87" s="39" t="s">
        <v>17</v>
      </c>
      <c r="G87" s="39"/>
      <c r="H87" s="39"/>
      <c r="I87" s="39"/>
      <c r="J87" s="39"/>
      <c r="K87" s="39"/>
      <c r="L87" s="39"/>
      <c r="M87" s="39"/>
      <c r="N87" s="39"/>
      <c r="O87" s="39"/>
      <c r="P87" s="54">
        <f t="shared" si="2"/>
        <v>11.457482399999998</v>
      </c>
      <c r="Q87" s="57">
        <f t="shared" si="3"/>
        <v>6.8744894399999987</v>
      </c>
    </row>
    <row r="88" spans="1:17" x14ac:dyDescent="0.25">
      <c r="A88" s="3"/>
      <c r="B88" s="3"/>
      <c r="C88" s="3"/>
      <c r="D88" s="3"/>
      <c r="E88" s="39"/>
      <c r="F88" s="39" t="s">
        <v>18</v>
      </c>
      <c r="G88" s="39"/>
      <c r="H88" s="39"/>
      <c r="I88" s="39"/>
      <c r="J88" s="39"/>
      <c r="K88" s="39"/>
      <c r="L88" s="39"/>
      <c r="M88" s="39"/>
      <c r="N88" s="39"/>
      <c r="O88" s="39"/>
      <c r="P88" s="54">
        <f t="shared" si="2"/>
        <v>14.364604799999997</v>
      </c>
      <c r="Q88" s="57">
        <f t="shared" si="3"/>
        <v>8.6187628799999985</v>
      </c>
    </row>
    <row r="89" spans="1:17" x14ac:dyDescent="0.25">
      <c r="A89" s="3"/>
      <c r="B89" s="3"/>
      <c r="C89" s="3"/>
      <c r="D89" s="3"/>
      <c r="E89" s="39"/>
      <c r="F89" s="39" t="s">
        <v>19</v>
      </c>
      <c r="G89" s="39"/>
      <c r="H89" s="39"/>
      <c r="I89" s="39"/>
      <c r="J89" s="39"/>
      <c r="K89" s="39"/>
      <c r="L89" s="39"/>
      <c r="M89" s="39"/>
      <c r="N89" s="39"/>
      <c r="O89" s="39"/>
      <c r="P89" s="54">
        <f t="shared" si="2"/>
        <v>16.245683999999997</v>
      </c>
      <c r="Q89" s="57">
        <f t="shared" si="3"/>
        <v>9.7474103999999979</v>
      </c>
    </row>
    <row r="90" spans="1:17" x14ac:dyDescent="0.25">
      <c r="A90" s="3"/>
      <c r="B90" s="3"/>
      <c r="C90" s="3"/>
      <c r="D90" s="3"/>
      <c r="E90" s="39"/>
      <c r="F90" s="39" t="s">
        <v>20</v>
      </c>
      <c r="G90" s="39"/>
      <c r="H90" s="39"/>
      <c r="I90" s="39"/>
      <c r="J90" s="39"/>
      <c r="K90" s="39"/>
      <c r="L90" s="39"/>
      <c r="M90" s="39"/>
      <c r="N90" s="39"/>
      <c r="O90" s="39"/>
      <c r="P90" s="54">
        <f t="shared" si="2"/>
        <v>16.929712799999997</v>
      </c>
      <c r="Q90" s="57">
        <f t="shared" si="3"/>
        <v>10.157827679999999</v>
      </c>
    </row>
    <row r="91" spans="1:17" x14ac:dyDescent="0.25">
      <c r="A91" s="3"/>
      <c r="B91" s="3"/>
      <c r="C91" s="3"/>
      <c r="D91" s="3"/>
      <c r="E91" s="39"/>
      <c r="F91" s="39" t="s">
        <v>21</v>
      </c>
      <c r="G91" s="39"/>
      <c r="H91" s="39"/>
      <c r="I91" s="39"/>
      <c r="J91" s="39"/>
      <c r="K91" s="39"/>
      <c r="L91" s="39"/>
      <c r="M91" s="39"/>
      <c r="N91" s="39"/>
      <c r="O91" s="39"/>
      <c r="P91" s="54">
        <f t="shared" si="2"/>
        <v>15.818165999999998</v>
      </c>
      <c r="Q91" s="57">
        <f t="shared" si="3"/>
        <v>9.4908995999999988</v>
      </c>
    </row>
    <row r="92" spans="1:17" x14ac:dyDescent="0.25">
      <c r="A92" s="3"/>
      <c r="B92" s="3"/>
      <c r="C92" s="3"/>
      <c r="D92" s="3"/>
      <c r="E92" s="39"/>
      <c r="F92" s="39" t="s">
        <v>22</v>
      </c>
      <c r="G92" s="39"/>
      <c r="H92" s="39"/>
      <c r="I92" s="39"/>
      <c r="J92" s="39"/>
      <c r="K92" s="39"/>
      <c r="L92" s="39"/>
      <c r="M92" s="39"/>
      <c r="N92" s="39"/>
      <c r="O92" s="39"/>
      <c r="P92" s="54">
        <f t="shared" si="2"/>
        <v>13.766079599999998</v>
      </c>
      <c r="Q92" s="57">
        <f t="shared" si="3"/>
        <v>8.2596477599999982</v>
      </c>
    </row>
    <row r="93" spans="1:17" x14ac:dyDescent="0.25">
      <c r="A93" s="3"/>
      <c r="B93" s="3"/>
      <c r="C93" s="3"/>
      <c r="D93" s="3"/>
      <c r="E93" s="39"/>
      <c r="F93" s="39" t="s">
        <v>23</v>
      </c>
      <c r="G93" s="39"/>
      <c r="H93" s="39"/>
      <c r="I93" s="39"/>
      <c r="J93" s="39"/>
      <c r="K93" s="39"/>
      <c r="L93" s="39"/>
      <c r="M93" s="39"/>
      <c r="N93" s="39"/>
      <c r="O93" s="39"/>
      <c r="P93" s="54">
        <f t="shared" si="2"/>
        <v>11.457482399999998</v>
      </c>
      <c r="Q93" s="57">
        <f t="shared" si="3"/>
        <v>6.8744894399999987</v>
      </c>
    </row>
    <row r="94" spans="1:17" x14ac:dyDescent="0.25">
      <c r="A94" s="3"/>
      <c r="B94" s="3"/>
      <c r="C94" s="3"/>
      <c r="D94" s="3"/>
      <c r="E94" s="39"/>
      <c r="F94" s="39" t="s">
        <v>24</v>
      </c>
      <c r="G94" s="39"/>
      <c r="H94" s="39"/>
      <c r="I94" s="39"/>
      <c r="J94" s="39"/>
      <c r="K94" s="39"/>
      <c r="L94" s="39"/>
      <c r="M94" s="39"/>
      <c r="N94" s="39"/>
      <c r="O94" s="39"/>
      <c r="P94" s="54">
        <f t="shared" si="2"/>
        <v>9.8329139999999988</v>
      </c>
      <c r="Q94" s="57">
        <f t="shared" si="3"/>
        <v>5.8997483999999991</v>
      </c>
    </row>
    <row r="95" spans="1:17" x14ac:dyDescent="0.25">
      <c r="A95" s="3"/>
      <c r="B95" s="3"/>
      <c r="C95" s="3"/>
      <c r="D95" s="3"/>
      <c r="E95" s="39"/>
      <c r="F95" s="39" t="s">
        <v>25</v>
      </c>
      <c r="G95" s="39"/>
      <c r="H95" s="39"/>
      <c r="I95" s="39"/>
      <c r="J95" s="39"/>
      <c r="K95" s="39"/>
      <c r="L95" s="39"/>
      <c r="M95" s="39"/>
      <c r="N95" s="39"/>
      <c r="O95" s="41"/>
      <c r="P95" s="54">
        <f t="shared" si="2"/>
        <v>8.1228419999999986</v>
      </c>
      <c r="Q95" s="57">
        <f t="shared" si="3"/>
        <v>4.873705199999999</v>
      </c>
    </row>
    <row r="96" spans="1:17" x14ac:dyDescent="0.25">
      <c r="A96" s="3"/>
      <c r="B96" s="3"/>
      <c r="C96" s="3"/>
      <c r="D96" s="3"/>
      <c r="E96" s="41"/>
      <c r="F96" s="41"/>
      <c r="G96" s="42"/>
      <c r="H96" s="39"/>
      <c r="I96" s="39"/>
      <c r="J96" s="39"/>
      <c r="K96" s="39"/>
      <c r="L96" s="39"/>
      <c r="M96" s="39"/>
      <c r="N96" s="41"/>
      <c r="O96" s="41"/>
      <c r="P96" s="41"/>
      <c r="Q96" s="41"/>
    </row>
    <row r="97" spans="1:17" x14ac:dyDescent="0.25">
      <c r="A97" s="3"/>
      <c r="B97" s="3"/>
      <c r="C97" s="3"/>
      <c r="D97" s="3"/>
      <c r="E97" s="41"/>
      <c r="F97" s="41"/>
      <c r="G97" s="41"/>
      <c r="H97" s="41"/>
      <c r="I97" s="41"/>
      <c r="J97" s="41"/>
      <c r="K97" s="41"/>
      <c r="L97" s="42"/>
      <c r="M97" s="41"/>
      <c r="N97" s="41"/>
      <c r="O97" s="41"/>
      <c r="P97" s="41"/>
      <c r="Q97" s="41"/>
    </row>
    <row r="98" spans="1:17" x14ac:dyDescent="0.25">
      <c r="A98" s="2"/>
      <c r="C98" s="59" t="s">
        <v>69</v>
      </c>
      <c r="D98" s="6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58">
        <f>1/(((($D$16*$D$18*$D$20)*1.16)/SUMIF($M$41:$M$47,$P$42,$I$41:$I$47))*1.3)</f>
        <v>0.49120738775911188</v>
      </c>
      <c r="Q98" s="39" t="s">
        <v>35</v>
      </c>
    </row>
    <row r="99" spans="1:17" x14ac:dyDescent="0.25">
      <c r="A99" s="2"/>
      <c r="C99" s="59" t="s">
        <v>70</v>
      </c>
      <c r="D99" s="6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58">
        <f>1/(((($D$16*$D$18*$D$20)*1.16)/SUMIF($M$41:$M$47,$P$42,$J$41:$J$47))*1.3)</f>
        <v>0.36840554081933402</v>
      </c>
      <c r="Q99" s="39" t="str">
        <f>Q98</f>
        <v>degrees</v>
      </c>
    </row>
    <row r="100" spans="1:17" x14ac:dyDescent="0.25">
      <c r="A100" s="3"/>
      <c r="B100" s="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</row>
    <row r="101" spans="1:17" x14ac:dyDescent="0.25">
      <c r="A101" s="3"/>
      <c r="B101" s="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</row>
    <row r="102" spans="1:17" x14ac:dyDescent="0.25">
      <c r="A102" s="3"/>
      <c r="B102" s="3"/>
      <c r="C102" s="3"/>
      <c r="D102" s="3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</row>
    <row r="103" spans="1:17" x14ac:dyDescent="0.25">
      <c r="A103" s="3"/>
      <c r="B103" s="3"/>
      <c r="C103" s="3"/>
      <c r="D103" s="3"/>
      <c r="E103" s="3"/>
      <c r="F103" s="3"/>
      <c r="G103" s="3"/>
      <c r="H103" s="41"/>
      <c r="I103" s="41"/>
      <c r="J103" s="41"/>
      <c r="K103" s="41"/>
      <c r="L103" s="41"/>
      <c r="M103" s="41"/>
      <c r="N103" s="41"/>
      <c r="O103" s="3"/>
      <c r="P103" s="3"/>
      <c r="Q103" s="3"/>
    </row>
    <row r="104" spans="1:1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1:1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spans="1:1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spans="1:1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1:1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1:1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1:1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1:1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1:1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1:1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1:1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spans="1:1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</row>
    <row r="116" spans="1:1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  <row r="117" spans="1:1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spans="1:1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</row>
    <row r="119" spans="1:1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</row>
    <row r="120" spans="1:1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</row>
    <row r="121" spans="1:17" hidden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spans="1:17" hidden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spans="1:17" hidden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spans="1:17" hidden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spans="1:17" hidden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spans="1:17" hidden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spans="1:17" hidden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spans="1:17" hidden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spans="1:17" hidden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spans="1:17" hidden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spans="1:17" hidden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pans="1:1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spans="1:1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spans="1:1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spans="1:1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spans="1:1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spans="1:1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spans="1:1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spans="1:1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spans="1:1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spans="1:1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spans="1:1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spans="1:1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spans="1:1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spans="1:2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spans="1:2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spans="1:2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spans="1:2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spans="1:2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spans="1:2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spans="1:2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spans="1:2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spans="1:2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spans="1:2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spans="1:2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X155">
        <f>7.3*3.5*1.2*1000*0.00116*2</f>
        <v>71.131200000000007</v>
      </c>
    </row>
    <row r="156" spans="1:2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X156">
        <f>X155/13</f>
        <v>5.47163076923077</v>
      </c>
    </row>
    <row r="157" spans="1:2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X157">
        <f>1.8*X156</f>
        <v>9.8489353846153858</v>
      </c>
    </row>
    <row r="158" spans="1:2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X158">
        <f>X157*0.28</f>
        <v>2.7577019076923084</v>
      </c>
    </row>
    <row r="159" spans="1:2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X159">
        <f>X158*30</f>
        <v>82.731057230769252</v>
      </c>
    </row>
    <row r="160" spans="1:2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spans="1:1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spans="1:1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spans="1:1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spans="1:1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spans="1:18" hidden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spans="1:18" hidden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spans="1:18" hidden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spans="1:18" hidden="1" x14ac:dyDescent="0.25">
      <c r="B168" s="3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spans="1:18" x14ac:dyDescent="0.25">
      <c r="B169" s="3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spans="1:18" x14ac:dyDescent="0.25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spans="1:18" x14ac:dyDescent="0.25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spans="1:18" x14ac:dyDescent="0.25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spans="1:18" x14ac:dyDescent="0.25">
      <c r="B173" s="59" t="s">
        <v>54</v>
      </c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60"/>
    </row>
    <row r="174" spans="1:18" x14ac:dyDescent="0.25">
      <c r="B174" s="59" t="s">
        <v>36</v>
      </c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60"/>
      <c r="P174" s="41"/>
      <c r="Q174" s="41"/>
      <c r="R174" s="60"/>
    </row>
    <row r="175" spans="1:18" x14ac:dyDescent="0.25">
      <c r="B175" s="59" t="s">
        <v>37</v>
      </c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60"/>
      <c r="P175" s="41"/>
      <c r="Q175" s="41"/>
      <c r="R175" s="60"/>
    </row>
    <row r="176" spans="1:18" x14ac:dyDescent="0.25">
      <c r="B176" s="59" t="s">
        <v>38</v>
      </c>
      <c r="C176" s="60"/>
      <c r="D176" s="60"/>
      <c r="E176" s="60"/>
      <c r="F176" s="60"/>
      <c r="G176" s="60"/>
      <c r="H176" s="41"/>
      <c r="I176" s="41"/>
      <c r="J176" s="41"/>
      <c r="K176" s="41"/>
      <c r="L176" s="41"/>
      <c r="M176" s="41"/>
      <c r="N176" s="60"/>
      <c r="O176" s="60"/>
      <c r="P176" s="60"/>
      <c r="Q176" s="60"/>
      <c r="R176" s="60"/>
    </row>
    <row r="177" spans="2:18" x14ac:dyDescent="0.25">
      <c r="B177" s="59" t="s">
        <v>39</v>
      </c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2"/>
      <c r="Q177" s="62"/>
      <c r="R177" s="60"/>
    </row>
    <row r="178" spans="2:18" x14ac:dyDescent="0.25">
      <c r="B178" s="59" t="s">
        <v>40</v>
      </c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</row>
  </sheetData>
  <sheetProtection algorithmName="SHA-512" hashValue="oq+w8bVHs0fiqERtejAOFeIzZ5nZdegCpmT3nDZ3KbzMtgwKe7kzYLKuQjyQhLw2loR1zS1oaHd6h0F7RWqHGg==" saltValue="rNjgyb+cYGCArmAVOiJLgg==" spinCount="100000" sheet="1" selectLockedCells="1"/>
  <protectedRanges>
    <protectedRange sqref="D20" name="depth"/>
    <protectedRange sqref="D16" name="length"/>
    <protectedRange sqref="D18" name="width"/>
  </protectedRanges>
  <mergeCells count="1">
    <mergeCell ref="P42:Q42"/>
  </mergeCells>
  <dataValidations count="6">
    <dataValidation type="list" allowBlank="1" showInputMessage="1" showErrorMessage="1" prompt="Enter your power cost cents per kW/hr from drop down menu" sqref="Q68" xr:uid="{9AA78AE6-43A3-4E4E-82A6-782D6DF72C62}">
      <formula1>"20, 22, 24, 26, 28, 30, 32, 34, 36, 38, 40, 42, 44"</formula1>
    </dataValidation>
    <dataValidation type="list" allowBlank="1" showInputMessage="1" showErrorMessage="1" prompt="Select 23 for solar replacement heater_x000a_Select 26 or 28 degree C for year round swimming" sqref="D22" xr:uid="{1F9D20AC-8CE5-499D-B3D2-F254BC88BDFA}">
      <formula1>"23,26,28,30"</formula1>
    </dataValidation>
    <dataValidation type="list" allowBlank="1" showInputMessage="1" showErrorMessage="1" prompt="Average cost per kW hour as at 1.8.10  is 20 cents inc. GST" sqref="D66:D69" xr:uid="{4ED38A3D-75A1-4DB3-BC48-313021060FA5}">
      <formula1>"14.0,16.0, 18, 20, 28"</formula1>
    </dataValidation>
    <dataValidation type="list" allowBlank="1" showInputMessage="1" showErrorMessage="1" sqref="D8" xr:uid="{D18C17BE-1978-4A27-BF41-6677B1E3C73D}">
      <formula1>"Adelaide, Brisbane, Melbourne, Perth, Sydney, Townsville"</formula1>
    </dataValidation>
    <dataValidation type="list" allowBlank="1" showErrorMessage="1" prompt="_x000a_" sqref="D24" xr:uid="{08B9FBE5-B951-41F9-B121-74AD53898EA3}">
      <formula1>"Spring to Autumn, All Year Round"</formula1>
    </dataValidation>
    <dataValidation allowBlank="1" showInputMessage="1" showErrorMessage="1" prompt="In general, 26 to 28 degree C is considered a comfortable swimming temperature" sqref="D23" xr:uid="{0E1C3CB8-539E-40DE-BEC8-0D3FD7297495}"/>
  </dataValidations>
  <pageMargins left="0.31496062992125984" right="0.31496062992125984" top="0.35433070866141736" bottom="0.35433070866141736" header="0.31496062992125984" footer="0.31496062992125984"/>
  <pageSetup paperSize="9" scale="95" fitToHeight="3" orientation="portrait" r:id="rId1"/>
  <rowBreaks count="3" manualBreakCount="3">
    <brk id="42" max="16383" man="1"/>
    <brk id="99" max="16383" man="1"/>
    <brk id="16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EBA2F-8D56-4F79-A962-C36801268E18}">
  <sheetPr codeName="Sheet2"/>
  <dimension ref="A1:R57"/>
  <sheetViews>
    <sheetView workbookViewId="0">
      <selection activeCell="F12" sqref="F12"/>
    </sheetView>
  </sheetViews>
  <sheetFormatPr defaultRowHeight="15" x14ac:dyDescent="0.25"/>
  <cols>
    <col min="1" max="1" width="19.7109375" bestFit="1" customWidth="1"/>
  </cols>
  <sheetData>
    <row r="1" spans="1:14" x14ac:dyDescent="0.25">
      <c r="B1">
        <f>B7+7</f>
        <v>32.6</v>
      </c>
      <c r="C1">
        <f t="shared" ref="C1:M1" si="0">C7+7</f>
        <v>32.299999999999997</v>
      </c>
      <c r="D1">
        <f t="shared" si="0"/>
        <v>30.8</v>
      </c>
      <c r="E1">
        <f t="shared" si="0"/>
        <v>28.5</v>
      </c>
      <c r="F1">
        <f t="shared" si="0"/>
        <v>24.6</v>
      </c>
      <c r="G1">
        <f t="shared" si="0"/>
        <v>21.8</v>
      </c>
      <c r="H1">
        <f t="shared" si="0"/>
        <v>20.5</v>
      </c>
      <c r="I1">
        <f t="shared" si="0"/>
        <v>22.4</v>
      </c>
      <c r="J1">
        <f t="shared" si="0"/>
        <v>25.8</v>
      </c>
      <c r="K1">
        <f t="shared" si="0"/>
        <v>28.9</v>
      </c>
      <c r="L1">
        <f t="shared" si="0"/>
        <v>30.9</v>
      </c>
      <c r="M1">
        <f t="shared" si="0"/>
        <v>32.1</v>
      </c>
    </row>
    <row r="2" spans="1:14" ht="15.75" thickBot="1" x14ac:dyDescent="0.3">
      <c r="B2">
        <f>B4-B12</f>
        <v>7.8999999999999986</v>
      </c>
      <c r="C2">
        <f t="shared" ref="C2:M2" si="1">C4-C12</f>
        <v>8.1999999999999993</v>
      </c>
      <c r="D2">
        <f t="shared" si="1"/>
        <v>10.399999999999999</v>
      </c>
      <c r="E2">
        <f t="shared" si="1"/>
        <v>13.4</v>
      </c>
      <c r="F2">
        <f t="shared" si="1"/>
        <v>16.8</v>
      </c>
      <c r="G2">
        <f t="shared" si="1"/>
        <v>19</v>
      </c>
      <c r="H2">
        <f t="shared" si="1"/>
        <v>19.8</v>
      </c>
      <c r="I2">
        <f t="shared" si="1"/>
        <v>18.5</v>
      </c>
      <c r="J2">
        <f t="shared" si="1"/>
        <v>16.100000000000001</v>
      </c>
      <c r="K2">
        <f t="shared" si="1"/>
        <v>13.4</v>
      </c>
      <c r="L2">
        <f t="shared" si="1"/>
        <v>11.5</v>
      </c>
      <c r="M2">
        <f t="shared" si="1"/>
        <v>9.5</v>
      </c>
    </row>
    <row r="3" spans="1:14" ht="16.5" thickTop="1" thickBot="1" x14ac:dyDescent="0.3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x14ac:dyDescent="0.25">
      <c r="A4" s="7" t="s">
        <v>41</v>
      </c>
      <c r="B4">
        <f>Sheet1!$D$22</f>
        <v>28</v>
      </c>
      <c r="C4">
        <f>Sheet1!$D$22</f>
        <v>28</v>
      </c>
      <c r="D4">
        <f>Sheet1!$D$22</f>
        <v>28</v>
      </c>
      <c r="E4">
        <f>Sheet1!$D$22</f>
        <v>28</v>
      </c>
      <c r="F4">
        <f>Sheet1!$D$22</f>
        <v>28</v>
      </c>
      <c r="G4">
        <f>Sheet1!$D$22</f>
        <v>28</v>
      </c>
      <c r="H4">
        <f>Sheet1!$D$22</f>
        <v>28</v>
      </c>
      <c r="I4">
        <f>Sheet1!$D$22</f>
        <v>28</v>
      </c>
      <c r="J4">
        <f>Sheet1!$D$22</f>
        <v>28</v>
      </c>
      <c r="K4">
        <f>Sheet1!$D$22</f>
        <v>28</v>
      </c>
      <c r="L4">
        <f>Sheet1!$D$22</f>
        <v>28</v>
      </c>
      <c r="M4">
        <f>Sheet1!$D$22</f>
        <v>28</v>
      </c>
    </row>
    <row r="5" spans="1:14" ht="15.75" thickBot="1" x14ac:dyDescent="0.3">
      <c r="A5" t="s">
        <v>42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4" ht="16.5" thickTop="1" thickBot="1" x14ac:dyDescent="0.3">
      <c r="A6" s="8" t="s">
        <v>43</v>
      </c>
      <c r="B6" s="6">
        <v>23.1</v>
      </c>
      <c r="C6" s="6">
        <v>22.6</v>
      </c>
      <c r="D6" s="6">
        <v>20.399999999999999</v>
      </c>
      <c r="E6" s="6">
        <v>17.600000000000001</v>
      </c>
      <c r="F6" s="6">
        <v>13.7</v>
      </c>
      <c r="G6" s="6">
        <v>11.4</v>
      </c>
      <c r="H6" s="6">
        <v>10.4</v>
      </c>
      <c r="I6" s="6">
        <v>11.3</v>
      </c>
      <c r="J6" s="6">
        <v>13.8</v>
      </c>
      <c r="K6" s="6">
        <v>16.8</v>
      </c>
      <c r="L6" s="6">
        <v>19.100000000000001</v>
      </c>
      <c r="M6" s="6">
        <v>20.8</v>
      </c>
      <c r="N6">
        <f>IF(Sheet1!$D$8=Sheet2!A6, 1, 0)</f>
        <v>0</v>
      </c>
    </row>
    <row r="7" spans="1:14" ht="15.75" thickBot="1" x14ac:dyDescent="0.3">
      <c r="A7" s="8" t="s">
        <v>44</v>
      </c>
      <c r="B7" s="9">
        <v>25.6</v>
      </c>
      <c r="C7" s="9">
        <v>25.3</v>
      </c>
      <c r="D7" s="9">
        <v>23.8</v>
      </c>
      <c r="E7" s="9">
        <v>21.5</v>
      </c>
      <c r="F7" s="9">
        <v>17.600000000000001</v>
      </c>
      <c r="G7" s="9">
        <v>14.8</v>
      </c>
      <c r="H7" s="9">
        <v>13.5</v>
      </c>
      <c r="I7" s="9">
        <v>15.4</v>
      </c>
      <c r="J7" s="9">
        <v>18.8</v>
      </c>
      <c r="K7" s="9">
        <v>21.9</v>
      </c>
      <c r="L7" s="9">
        <v>23.9</v>
      </c>
      <c r="M7" s="9">
        <v>25.1</v>
      </c>
      <c r="N7">
        <f>IF(Sheet1!$D$8=Sheet2!A7, 1, 0)</f>
        <v>0</v>
      </c>
    </row>
    <row r="8" spans="1:14" ht="15.75" thickBot="1" x14ac:dyDescent="0.3">
      <c r="A8" s="8" t="s">
        <v>3</v>
      </c>
      <c r="B8" s="9">
        <v>20.100000000000001</v>
      </c>
      <c r="C8" s="9">
        <v>19.8</v>
      </c>
      <c r="D8" s="9">
        <v>17.600000000000001</v>
      </c>
      <c r="E8" s="9">
        <v>14.6</v>
      </c>
      <c r="F8" s="9">
        <v>11.2</v>
      </c>
      <c r="G8" s="9">
        <v>9</v>
      </c>
      <c r="H8" s="9">
        <v>8.1999999999999993</v>
      </c>
      <c r="I8" s="9">
        <v>9.5</v>
      </c>
      <c r="J8" s="9">
        <v>11.9</v>
      </c>
      <c r="K8" s="9">
        <v>14.6</v>
      </c>
      <c r="L8" s="9">
        <v>16.5</v>
      </c>
      <c r="M8" s="9">
        <v>18.5</v>
      </c>
      <c r="N8">
        <f>IF(Sheet1!$D$8=Sheet2!A8, 1, 0)</f>
        <v>1</v>
      </c>
    </row>
    <row r="9" spans="1:14" ht="15.75" thickBot="1" x14ac:dyDescent="0.3">
      <c r="A9" s="8" t="s">
        <v>45</v>
      </c>
      <c r="B9" s="9">
        <v>23.9</v>
      </c>
      <c r="C9" s="9">
        <v>23.4</v>
      </c>
      <c r="D9" s="9">
        <v>21.2</v>
      </c>
      <c r="E9" s="9">
        <v>17.899999999999999</v>
      </c>
      <c r="F9" s="9">
        <v>15.2</v>
      </c>
      <c r="G9" s="9">
        <v>13.3</v>
      </c>
      <c r="H9" s="9">
        <v>11.9</v>
      </c>
      <c r="I9" s="9">
        <v>12.6</v>
      </c>
      <c r="J9" s="9">
        <v>14.5</v>
      </c>
      <c r="K9" s="9">
        <v>17.3</v>
      </c>
      <c r="L9" s="9">
        <v>20</v>
      </c>
      <c r="M9" s="9">
        <v>22.7</v>
      </c>
      <c r="N9">
        <f>IF(Sheet1!$D$8=Sheet2!A9, 1, 0)</f>
        <v>0</v>
      </c>
    </row>
    <row r="10" spans="1:14" ht="15.75" thickBot="1" x14ac:dyDescent="0.3">
      <c r="A10" s="8" t="s">
        <v>46</v>
      </c>
      <c r="B10" s="9">
        <v>22.9</v>
      </c>
      <c r="C10" s="9">
        <v>23</v>
      </c>
      <c r="D10" s="9">
        <v>21.4</v>
      </c>
      <c r="E10" s="9">
        <v>18.399999999999999</v>
      </c>
      <c r="F10" s="9">
        <v>14.3</v>
      </c>
      <c r="G10" s="9">
        <v>12</v>
      </c>
      <c r="H10" s="9">
        <v>10.9</v>
      </c>
      <c r="I10" s="9">
        <v>12.5</v>
      </c>
      <c r="J10" s="9">
        <v>15.4</v>
      </c>
      <c r="K10" s="9">
        <v>18.600000000000001</v>
      </c>
      <c r="L10" s="9">
        <v>20.7</v>
      </c>
      <c r="M10" s="9">
        <v>22.1</v>
      </c>
      <c r="N10">
        <f>IF(Sheet1!$D$8=Sheet2!A10, 1, 0)</f>
        <v>0</v>
      </c>
    </row>
    <row r="11" spans="1:14" ht="15.75" thickBot="1" x14ac:dyDescent="0.3">
      <c r="A11" s="10" t="s">
        <v>47</v>
      </c>
      <c r="B11" s="9">
        <f>B7</f>
        <v>25.6</v>
      </c>
      <c r="C11" s="9">
        <f>C7</f>
        <v>25.3</v>
      </c>
      <c r="D11" s="9">
        <f>D7</f>
        <v>23.8</v>
      </c>
      <c r="E11" s="9">
        <f>E7+2</f>
        <v>23.5</v>
      </c>
      <c r="F11" s="9">
        <f t="shared" ref="F11:K11" si="2">F7+3</f>
        <v>20.6</v>
      </c>
      <c r="G11" s="9">
        <f t="shared" si="2"/>
        <v>17.8</v>
      </c>
      <c r="H11" s="9">
        <f t="shared" si="2"/>
        <v>16.5</v>
      </c>
      <c r="I11" s="9">
        <f t="shared" si="2"/>
        <v>18.399999999999999</v>
      </c>
      <c r="J11" s="9">
        <f t="shared" si="2"/>
        <v>21.8</v>
      </c>
      <c r="K11" s="9">
        <f t="shared" si="2"/>
        <v>24.9</v>
      </c>
      <c r="L11" s="9">
        <f>L7+2</f>
        <v>25.9</v>
      </c>
      <c r="M11" s="9">
        <f>M7+2</f>
        <v>27.1</v>
      </c>
      <c r="N11">
        <f>IF(Sheet1!$D$8=Sheet2!A11, 1, 0)</f>
        <v>0</v>
      </c>
    </row>
    <row r="12" spans="1:14" x14ac:dyDescent="0.25">
      <c r="A12" s="11" t="s">
        <v>48</v>
      </c>
      <c r="B12" s="11">
        <f>VLOOKUP(Sheet1!$D$8,Sheet2!$A$6:B$11,2,FALSE)</f>
        <v>20.100000000000001</v>
      </c>
      <c r="C12" s="11">
        <f>VLOOKUP(Sheet1!$D$8,Sheet2!$A$6:C$11,3,FALSE)</f>
        <v>19.8</v>
      </c>
      <c r="D12" s="11">
        <f>VLOOKUP(Sheet1!$D$8,Sheet2!$A$6:D$11,4,FALSE)</f>
        <v>17.600000000000001</v>
      </c>
      <c r="E12" s="11">
        <f>VLOOKUP(Sheet1!$D$8,Sheet2!$A$6:E$11,5,FALSE)</f>
        <v>14.6</v>
      </c>
      <c r="F12" s="11">
        <f>VLOOKUP(Sheet1!$D$8,Sheet2!$A$6:F$11,6,FALSE)</f>
        <v>11.2</v>
      </c>
      <c r="G12" s="11">
        <f>VLOOKUP(Sheet1!$D$8,Sheet2!$A$6:G$11,7,FALSE)</f>
        <v>9</v>
      </c>
      <c r="H12" s="11">
        <f>VLOOKUP(Sheet1!$D$8,Sheet2!$A$6:H$11,8,FALSE)</f>
        <v>8.1999999999999993</v>
      </c>
      <c r="I12" s="11">
        <f>VLOOKUP(Sheet1!$D$8,Sheet2!$A$6:I$11,9,FALSE)</f>
        <v>9.5</v>
      </c>
      <c r="J12" s="11">
        <f>VLOOKUP(Sheet1!$D$8,Sheet2!$A$6:J$11,10,FALSE)</f>
        <v>11.9</v>
      </c>
      <c r="K12" s="11">
        <f>VLOOKUP(Sheet1!$D$8,Sheet2!$A$6:K$11,11,FALSE)</f>
        <v>14.6</v>
      </c>
      <c r="L12" s="11">
        <f>VLOOKUP(Sheet1!$D$8,Sheet2!$A$6:L$11,12,FALSE)</f>
        <v>16.5</v>
      </c>
      <c r="M12" s="11">
        <f>VLOOKUP(Sheet1!$D$8,Sheet2!$A$6:M$11,13,FALSE)</f>
        <v>18.5</v>
      </c>
    </row>
    <row r="13" spans="1:14" x14ac:dyDescent="0.25">
      <c r="A13" s="8">
        <f>A23</f>
        <v>0</v>
      </c>
      <c r="B13" s="8">
        <f>B23</f>
        <v>4.8999999999999986</v>
      </c>
      <c r="C13" s="8">
        <f t="shared" ref="C13:M13" si="3">C23</f>
        <v>5.3999999999999986</v>
      </c>
      <c r="D13" s="8">
        <f t="shared" si="3"/>
        <v>7.6000000000000014</v>
      </c>
      <c r="E13" s="8">
        <f t="shared" si="3"/>
        <v>10.399999999999999</v>
      </c>
      <c r="F13" s="8">
        <f t="shared" si="3"/>
        <v>14.3</v>
      </c>
      <c r="G13" s="8">
        <f t="shared" si="3"/>
        <v>16.600000000000001</v>
      </c>
      <c r="H13" s="8">
        <f t="shared" si="3"/>
        <v>17.600000000000001</v>
      </c>
      <c r="I13" s="8">
        <f t="shared" si="3"/>
        <v>16.7</v>
      </c>
      <c r="J13" s="8">
        <f t="shared" si="3"/>
        <v>14.2</v>
      </c>
      <c r="K13" s="8">
        <f t="shared" si="3"/>
        <v>11.2</v>
      </c>
      <c r="L13" s="8">
        <f t="shared" si="3"/>
        <v>8.8999999999999986</v>
      </c>
      <c r="M13" s="8">
        <f t="shared" si="3"/>
        <v>7.1999999999999993</v>
      </c>
    </row>
    <row r="14" spans="1:14" x14ac:dyDescent="0.25">
      <c r="A14" s="8">
        <f t="shared" ref="A14:M20" si="4">A24</f>
        <v>0</v>
      </c>
      <c r="B14" s="8">
        <f>B24+5</f>
        <v>5</v>
      </c>
      <c r="C14" s="8">
        <f t="shared" ref="C14:M14" si="5">C24+5</f>
        <v>5</v>
      </c>
      <c r="D14" s="8">
        <f t="shared" si="5"/>
        <v>5</v>
      </c>
      <c r="E14" s="8">
        <f t="shared" si="5"/>
        <v>5</v>
      </c>
      <c r="F14" s="8">
        <f t="shared" si="5"/>
        <v>5</v>
      </c>
      <c r="G14" s="8">
        <f t="shared" si="5"/>
        <v>5</v>
      </c>
      <c r="H14" s="8">
        <f t="shared" si="5"/>
        <v>5</v>
      </c>
      <c r="I14" s="8">
        <f t="shared" si="5"/>
        <v>5</v>
      </c>
      <c r="J14" s="8">
        <f t="shared" si="5"/>
        <v>5</v>
      </c>
      <c r="K14" s="8">
        <f t="shared" si="5"/>
        <v>5</v>
      </c>
      <c r="L14" s="8">
        <f t="shared" si="5"/>
        <v>5</v>
      </c>
      <c r="M14" s="8">
        <f t="shared" si="5"/>
        <v>5</v>
      </c>
    </row>
    <row r="15" spans="1:14" x14ac:dyDescent="0.25">
      <c r="A15" s="8" t="str">
        <f t="shared" si="4"/>
        <v>Adelaide</v>
      </c>
      <c r="B15" s="8">
        <f t="shared" si="4"/>
        <v>28</v>
      </c>
      <c r="C15" s="8">
        <f t="shared" si="4"/>
        <v>28</v>
      </c>
      <c r="D15" s="8">
        <f t="shared" si="4"/>
        <v>28</v>
      </c>
      <c r="E15" s="8">
        <f t="shared" si="4"/>
        <v>28</v>
      </c>
      <c r="F15" s="8">
        <f t="shared" si="4"/>
        <v>28</v>
      </c>
      <c r="G15" s="8">
        <f t="shared" si="4"/>
        <v>28</v>
      </c>
      <c r="H15" s="8">
        <f t="shared" si="4"/>
        <v>28</v>
      </c>
      <c r="I15" s="8">
        <f t="shared" si="4"/>
        <v>28</v>
      </c>
      <c r="J15" s="8">
        <f t="shared" si="4"/>
        <v>28</v>
      </c>
      <c r="K15" s="8">
        <f t="shared" si="4"/>
        <v>28</v>
      </c>
      <c r="L15" s="8">
        <f t="shared" si="4"/>
        <v>28</v>
      </c>
      <c r="M15" s="8">
        <f t="shared" si="4"/>
        <v>28</v>
      </c>
    </row>
    <row r="16" spans="1:14" x14ac:dyDescent="0.25">
      <c r="A16" s="8" t="str">
        <f t="shared" si="4"/>
        <v>Brisbane</v>
      </c>
      <c r="B16" s="8">
        <f t="shared" si="4"/>
        <v>33</v>
      </c>
      <c r="C16" s="8">
        <f t="shared" si="4"/>
        <v>33</v>
      </c>
      <c r="D16" s="8">
        <f t="shared" si="4"/>
        <v>33</v>
      </c>
      <c r="E16" s="8">
        <f t="shared" si="4"/>
        <v>26.4</v>
      </c>
      <c r="F16" s="8">
        <f t="shared" si="4"/>
        <v>22.5</v>
      </c>
      <c r="G16" s="8">
        <f t="shared" si="4"/>
        <v>19.7</v>
      </c>
      <c r="H16" s="8">
        <f t="shared" si="4"/>
        <v>18.399999999999999</v>
      </c>
      <c r="I16" s="8">
        <f t="shared" si="4"/>
        <v>20.299999999999997</v>
      </c>
      <c r="J16" s="8">
        <f t="shared" si="4"/>
        <v>23.7</v>
      </c>
      <c r="K16" s="8">
        <f t="shared" si="4"/>
        <v>26.799999999999997</v>
      </c>
      <c r="L16" s="8">
        <f t="shared" si="4"/>
        <v>33</v>
      </c>
      <c r="M16" s="8">
        <f t="shared" si="4"/>
        <v>33</v>
      </c>
    </row>
    <row r="17" spans="1:18" x14ac:dyDescent="0.25">
      <c r="A17" s="8" t="str">
        <f t="shared" si="4"/>
        <v>Melbourne</v>
      </c>
      <c r="B17" s="8">
        <f t="shared" si="4"/>
        <v>25</v>
      </c>
      <c r="C17" s="8">
        <f t="shared" si="4"/>
        <v>24.7</v>
      </c>
      <c r="D17" s="8">
        <f t="shared" si="4"/>
        <v>22.5</v>
      </c>
      <c r="E17" s="8">
        <f t="shared" si="4"/>
        <v>19.5</v>
      </c>
      <c r="F17" s="8">
        <f t="shared" si="4"/>
        <v>16.099999999999998</v>
      </c>
      <c r="G17" s="8">
        <f t="shared" si="4"/>
        <v>13.899999999999999</v>
      </c>
      <c r="H17" s="8">
        <f t="shared" si="4"/>
        <v>13.099999999999998</v>
      </c>
      <c r="I17" s="8">
        <f t="shared" si="4"/>
        <v>14.399999999999999</v>
      </c>
      <c r="J17" s="8">
        <f t="shared" si="4"/>
        <v>16.799999999999997</v>
      </c>
      <c r="K17" s="8">
        <f t="shared" si="4"/>
        <v>19.5</v>
      </c>
      <c r="L17" s="8">
        <f t="shared" si="4"/>
        <v>21.4</v>
      </c>
      <c r="M17" s="8">
        <f t="shared" si="4"/>
        <v>23.4</v>
      </c>
    </row>
    <row r="18" spans="1:18" x14ac:dyDescent="0.25">
      <c r="A18" s="8" t="str">
        <f t="shared" si="4"/>
        <v>Perth</v>
      </c>
      <c r="B18" s="8">
        <f t="shared" si="4"/>
        <v>28.799999999999997</v>
      </c>
      <c r="C18" s="8">
        <f t="shared" si="4"/>
        <v>28.299999999999997</v>
      </c>
      <c r="D18" s="8">
        <f t="shared" si="4"/>
        <v>26.099999999999998</v>
      </c>
      <c r="E18" s="8">
        <f t="shared" si="4"/>
        <v>22.799999999999997</v>
      </c>
      <c r="F18" s="8">
        <f t="shared" si="4"/>
        <v>20.099999999999998</v>
      </c>
      <c r="G18" s="8">
        <f t="shared" si="4"/>
        <v>18.2</v>
      </c>
      <c r="H18" s="8">
        <f t="shared" si="4"/>
        <v>16.799999999999997</v>
      </c>
      <c r="I18" s="8">
        <f t="shared" si="4"/>
        <v>17.5</v>
      </c>
      <c r="J18" s="8">
        <f t="shared" si="4"/>
        <v>19.399999999999999</v>
      </c>
      <c r="K18" s="8">
        <f t="shared" si="4"/>
        <v>22.2</v>
      </c>
      <c r="L18" s="8">
        <f t="shared" si="4"/>
        <v>24.9</v>
      </c>
      <c r="M18" s="8">
        <f t="shared" si="4"/>
        <v>27.599999999999998</v>
      </c>
    </row>
    <row r="19" spans="1:18" x14ac:dyDescent="0.25">
      <c r="A19" s="8" t="str">
        <f t="shared" si="4"/>
        <v>Sydney</v>
      </c>
      <c r="B19" s="8">
        <f t="shared" si="4"/>
        <v>27.799999999999997</v>
      </c>
      <c r="C19" s="8">
        <f t="shared" si="4"/>
        <v>27.9</v>
      </c>
      <c r="D19" s="8">
        <f t="shared" si="4"/>
        <v>26.299999999999997</v>
      </c>
      <c r="E19" s="8">
        <f t="shared" si="4"/>
        <v>23.299999999999997</v>
      </c>
      <c r="F19" s="8">
        <f t="shared" si="4"/>
        <v>19.2</v>
      </c>
      <c r="G19" s="8">
        <f t="shared" si="4"/>
        <v>16.899999999999999</v>
      </c>
      <c r="H19" s="8">
        <f t="shared" si="4"/>
        <v>15.799999999999999</v>
      </c>
      <c r="I19" s="8">
        <f t="shared" si="4"/>
        <v>17.399999999999999</v>
      </c>
      <c r="J19" s="8">
        <f t="shared" si="4"/>
        <v>20.299999999999997</v>
      </c>
      <c r="K19" s="8">
        <f t="shared" si="4"/>
        <v>23.5</v>
      </c>
      <c r="L19" s="8">
        <f t="shared" si="4"/>
        <v>25.599999999999998</v>
      </c>
      <c r="M19" s="8">
        <f t="shared" si="4"/>
        <v>27</v>
      </c>
    </row>
    <row r="20" spans="1:18" x14ac:dyDescent="0.25">
      <c r="A20" s="10" t="s">
        <v>47</v>
      </c>
      <c r="B20" s="8">
        <f t="shared" si="4"/>
        <v>33</v>
      </c>
      <c r="C20" s="8">
        <f t="shared" si="4"/>
        <v>33</v>
      </c>
      <c r="D20" s="8">
        <f t="shared" si="4"/>
        <v>33</v>
      </c>
      <c r="E20" s="8">
        <f t="shared" si="4"/>
        <v>33</v>
      </c>
      <c r="F20" s="8">
        <f t="shared" si="4"/>
        <v>25.5</v>
      </c>
      <c r="G20" s="8">
        <f t="shared" si="4"/>
        <v>22.7</v>
      </c>
      <c r="H20" s="8">
        <f t="shared" si="4"/>
        <v>21.4</v>
      </c>
      <c r="I20" s="8">
        <f t="shared" si="4"/>
        <v>23.299999999999997</v>
      </c>
      <c r="J20" s="8">
        <f t="shared" si="4"/>
        <v>26.7</v>
      </c>
      <c r="K20" s="8">
        <f t="shared" si="4"/>
        <v>33</v>
      </c>
      <c r="L20" s="8">
        <f t="shared" si="4"/>
        <v>33</v>
      </c>
      <c r="M20" s="8">
        <f t="shared" si="4"/>
        <v>33</v>
      </c>
    </row>
    <row r="23" spans="1:18" x14ac:dyDescent="0.25">
      <c r="A23" s="8"/>
      <c r="B23" s="8">
        <f>B4-B6</f>
        <v>4.8999999999999986</v>
      </c>
      <c r="C23" s="8">
        <f>C4-C6</f>
        <v>5.3999999999999986</v>
      </c>
      <c r="D23" s="8">
        <f>D4-D6</f>
        <v>7.6000000000000014</v>
      </c>
      <c r="E23" s="8">
        <f>E4-E6</f>
        <v>10.399999999999999</v>
      </c>
      <c r="F23" s="8">
        <f>F4-F6</f>
        <v>14.3</v>
      </c>
      <c r="G23" s="8">
        <f t="shared" ref="G23:M23" si="6">G4-G6</f>
        <v>16.600000000000001</v>
      </c>
      <c r="H23" s="8">
        <f t="shared" si="6"/>
        <v>17.600000000000001</v>
      </c>
      <c r="I23" s="8">
        <f t="shared" si="6"/>
        <v>16.7</v>
      </c>
      <c r="J23" s="8">
        <f t="shared" si="6"/>
        <v>14.2</v>
      </c>
      <c r="K23" s="8">
        <f t="shared" si="6"/>
        <v>11.2</v>
      </c>
      <c r="L23" s="8">
        <f t="shared" si="6"/>
        <v>8.8999999999999986</v>
      </c>
      <c r="M23" s="8">
        <f t="shared" si="6"/>
        <v>7.1999999999999993</v>
      </c>
      <c r="N23" s="8"/>
      <c r="O23" s="8"/>
      <c r="P23" s="8"/>
    </row>
    <row r="24" spans="1:18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8" x14ac:dyDescent="0.25">
      <c r="A25" s="12" t="s">
        <v>43</v>
      </c>
      <c r="B25" s="13">
        <f>B6-$B$24+$B$23</f>
        <v>28</v>
      </c>
      <c r="C25" s="13">
        <f t="shared" ref="C25:M25" si="7">C6-C24+C23</f>
        <v>28</v>
      </c>
      <c r="D25" s="13">
        <f t="shared" si="7"/>
        <v>28</v>
      </c>
      <c r="E25" s="13">
        <f>E6-E24+E23</f>
        <v>28</v>
      </c>
      <c r="F25" s="13">
        <f t="shared" si="7"/>
        <v>28</v>
      </c>
      <c r="G25" s="13">
        <f t="shared" si="7"/>
        <v>28</v>
      </c>
      <c r="H25" s="13">
        <f t="shared" si="7"/>
        <v>28</v>
      </c>
      <c r="I25" s="13">
        <f t="shared" si="7"/>
        <v>28</v>
      </c>
      <c r="J25" s="13">
        <f>J6-J24+J23</f>
        <v>28</v>
      </c>
      <c r="K25" s="13">
        <f t="shared" si="7"/>
        <v>28</v>
      </c>
      <c r="L25" s="13">
        <f t="shared" si="7"/>
        <v>28</v>
      </c>
      <c r="M25" s="14">
        <f t="shared" si="7"/>
        <v>28</v>
      </c>
      <c r="N25" s="8"/>
      <c r="O25" s="10" t="s">
        <v>49</v>
      </c>
      <c r="P25" s="8"/>
    </row>
    <row r="26" spans="1:18" x14ac:dyDescent="0.25">
      <c r="A26" s="15" t="s">
        <v>44</v>
      </c>
      <c r="B26" s="8">
        <v>33</v>
      </c>
      <c r="C26" s="8">
        <v>33</v>
      </c>
      <c r="D26" s="8">
        <v>33</v>
      </c>
      <c r="E26" s="8">
        <f t="shared" ref="E26:K26" si="8">E7-$B$24+$B$23</f>
        <v>26.4</v>
      </c>
      <c r="F26" s="8">
        <f t="shared" si="8"/>
        <v>22.5</v>
      </c>
      <c r="G26" s="8">
        <f t="shared" si="8"/>
        <v>19.7</v>
      </c>
      <c r="H26" s="8">
        <f t="shared" si="8"/>
        <v>18.399999999999999</v>
      </c>
      <c r="I26" s="8">
        <f t="shared" si="8"/>
        <v>20.299999999999997</v>
      </c>
      <c r="J26" s="8">
        <f t="shared" si="8"/>
        <v>23.7</v>
      </c>
      <c r="K26" s="8">
        <f t="shared" si="8"/>
        <v>26.799999999999997</v>
      </c>
      <c r="L26" s="8">
        <v>33</v>
      </c>
      <c r="M26" s="16">
        <v>33</v>
      </c>
      <c r="N26" s="8"/>
      <c r="O26" s="8"/>
      <c r="P26" s="8"/>
    </row>
    <row r="27" spans="1:18" x14ac:dyDescent="0.25">
      <c r="A27" s="15" t="s">
        <v>3</v>
      </c>
      <c r="B27" s="8">
        <f t="shared" ref="B27:M29" si="9">B8-$B$24+$B$23</f>
        <v>25</v>
      </c>
      <c r="C27" s="8">
        <f t="shared" si="9"/>
        <v>24.7</v>
      </c>
      <c r="D27" s="8">
        <f t="shared" si="9"/>
        <v>22.5</v>
      </c>
      <c r="E27" s="8">
        <f t="shared" si="9"/>
        <v>19.5</v>
      </c>
      <c r="F27" s="8">
        <f>F8-$B$24+$B$23</f>
        <v>16.099999999999998</v>
      </c>
      <c r="G27" s="8">
        <f t="shared" si="9"/>
        <v>13.899999999999999</v>
      </c>
      <c r="H27" s="8">
        <f t="shared" si="9"/>
        <v>13.099999999999998</v>
      </c>
      <c r="I27" s="8">
        <f t="shared" si="9"/>
        <v>14.399999999999999</v>
      </c>
      <c r="J27" s="8">
        <f t="shared" si="9"/>
        <v>16.799999999999997</v>
      </c>
      <c r="K27" s="8">
        <f t="shared" si="9"/>
        <v>19.5</v>
      </c>
      <c r="L27" s="8">
        <f t="shared" si="9"/>
        <v>21.4</v>
      </c>
      <c r="M27" s="16">
        <f t="shared" si="9"/>
        <v>23.4</v>
      </c>
      <c r="N27" s="8"/>
      <c r="O27" s="8"/>
      <c r="P27" s="8"/>
    </row>
    <row r="28" spans="1:18" x14ac:dyDescent="0.25">
      <c r="A28" s="15" t="s">
        <v>45</v>
      </c>
      <c r="B28" s="8">
        <f>B9+$B$23</f>
        <v>28.799999999999997</v>
      </c>
      <c r="C28" s="8">
        <f t="shared" si="9"/>
        <v>28.299999999999997</v>
      </c>
      <c r="D28" s="8">
        <f t="shared" si="9"/>
        <v>26.099999999999998</v>
      </c>
      <c r="E28" s="8">
        <f t="shared" si="9"/>
        <v>22.799999999999997</v>
      </c>
      <c r="F28" s="8">
        <f t="shared" si="9"/>
        <v>20.099999999999998</v>
      </c>
      <c r="G28" s="8">
        <f t="shared" si="9"/>
        <v>18.2</v>
      </c>
      <c r="H28" s="8">
        <f t="shared" si="9"/>
        <v>16.799999999999997</v>
      </c>
      <c r="I28" s="8">
        <f t="shared" si="9"/>
        <v>17.5</v>
      </c>
      <c r="J28" s="8">
        <f t="shared" si="9"/>
        <v>19.399999999999999</v>
      </c>
      <c r="K28" s="8">
        <f t="shared" si="9"/>
        <v>22.2</v>
      </c>
      <c r="L28" s="8">
        <f t="shared" si="9"/>
        <v>24.9</v>
      </c>
      <c r="M28" s="16">
        <f t="shared" si="9"/>
        <v>27.599999999999998</v>
      </c>
      <c r="N28" s="8"/>
      <c r="O28" s="8"/>
      <c r="P28" s="8"/>
    </row>
    <row r="29" spans="1:18" x14ac:dyDescent="0.25">
      <c r="A29" s="15" t="s">
        <v>46</v>
      </c>
      <c r="B29" s="8">
        <f>B10-$B$24+$B$23</f>
        <v>27.799999999999997</v>
      </c>
      <c r="C29" s="8">
        <f t="shared" si="9"/>
        <v>27.9</v>
      </c>
      <c r="D29" s="8">
        <f t="shared" si="9"/>
        <v>26.299999999999997</v>
      </c>
      <c r="E29" s="8">
        <f t="shared" si="9"/>
        <v>23.299999999999997</v>
      </c>
      <c r="F29" s="8">
        <f t="shared" si="9"/>
        <v>19.2</v>
      </c>
      <c r="G29" s="8">
        <f t="shared" si="9"/>
        <v>16.899999999999999</v>
      </c>
      <c r="H29" s="8">
        <f t="shared" si="9"/>
        <v>15.799999999999999</v>
      </c>
      <c r="I29" s="8">
        <f t="shared" si="9"/>
        <v>17.399999999999999</v>
      </c>
      <c r="J29" s="8">
        <f t="shared" si="9"/>
        <v>20.299999999999997</v>
      </c>
      <c r="K29" s="8">
        <f t="shared" si="9"/>
        <v>23.5</v>
      </c>
      <c r="L29" s="8">
        <f t="shared" si="9"/>
        <v>25.599999999999998</v>
      </c>
      <c r="M29" s="16">
        <f t="shared" si="9"/>
        <v>27</v>
      </c>
      <c r="N29" s="8"/>
      <c r="O29" s="8"/>
      <c r="P29" s="8"/>
    </row>
    <row r="30" spans="1:18" x14ac:dyDescent="0.25">
      <c r="A30" s="17" t="s">
        <v>47</v>
      </c>
      <c r="B30" s="18">
        <v>33</v>
      </c>
      <c r="C30" s="18">
        <v>33</v>
      </c>
      <c r="D30" s="18">
        <v>33</v>
      </c>
      <c r="E30" s="18">
        <v>33</v>
      </c>
      <c r="F30" s="18">
        <f>F11-$B$24+$B$23</f>
        <v>25.5</v>
      </c>
      <c r="G30" s="18">
        <f>G11-$B$24+$B$23</f>
        <v>22.7</v>
      </c>
      <c r="H30" s="18">
        <f>H11-$B$24+$B$23</f>
        <v>21.4</v>
      </c>
      <c r="I30" s="18">
        <f>I11-$B$24+$B$23</f>
        <v>23.299999999999997</v>
      </c>
      <c r="J30" s="18">
        <f>J11-$B$24+$B$23</f>
        <v>26.7</v>
      </c>
      <c r="K30" s="18">
        <v>33</v>
      </c>
      <c r="L30" s="18">
        <v>33</v>
      </c>
      <c r="M30" s="19">
        <v>33</v>
      </c>
      <c r="N30" s="8"/>
      <c r="O30" s="8"/>
      <c r="P30" s="8"/>
    </row>
    <row r="31" spans="1:18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</row>
    <row r="32" spans="1:18" x14ac:dyDescent="0.25">
      <c r="A32" s="8" t="s">
        <v>43</v>
      </c>
      <c r="B32" s="8">
        <f t="shared" ref="B32:M37" si="10">B25</f>
        <v>28</v>
      </c>
      <c r="C32" s="8">
        <f t="shared" si="10"/>
        <v>28</v>
      </c>
      <c r="D32" s="8">
        <f>D25</f>
        <v>28</v>
      </c>
      <c r="E32" s="8">
        <f t="shared" ref="E32:M32" si="11">E25</f>
        <v>28</v>
      </c>
      <c r="F32" s="8">
        <f t="shared" si="11"/>
        <v>28</v>
      </c>
      <c r="G32" s="8">
        <f t="shared" si="11"/>
        <v>28</v>
      </c>
      <c r="H32" s="8">
        <f t="shared" si="11"/>
        <v>28</v>
      </c>
      <c r="I32" s="8">
        <f t="shared" si="11"/>
        <v>28</v>
      </c>
      <c r="J32" s="8">
        <f t="shared" si="11"/>
        <v>28</v>
      </c>
      <c r="K32" s="8">
        <f t="shared" si="11"/>
        <v>28</v>
      </c>
      <c r="L32" s="8">
        <f t="shared" si="11"/>
        <v>28</v>
      </c>
      <c r="M32" s="8">
        <f t="shared" si="11"/>
        <v>28</v>
      </c>
    </row>
    <row r="33" spans="1:15" x14ac:dyDescent="0.25">
      <c r="A33" s="8" t="s">
        <v>44</v>
      </c>
      <c r="B33" s="8">
        <f t="shared" si="10"/>
        <v>33</v>
      </c>
      <c r="C33" s="8">
        <f>C26</f>
        <v>33</v>
      </c>
      <c r="D33" s="8">
        <f>D26</f>
        <v>33</v>
      </c>
      <c r="E33" s="8">
        <f>E26</f>
        <v>26.4</v>
      </c>
      <c r="F33" s="8">
        <f>Sheet1!$D$22</f>
        <v>28</v>
      </c>
      <c r="G33" s="8">
        <f>Sheet1!$D$22</f>
        <v>28</v>
      </c>
      <c r="H33" s="8">
        <f>Sheet1!$D$22</f>
        <v>28</v>
      </c>
      <c r="I33" s="8">
        <f>Sheet1!$D$22</f>
        <v>28</v>
      </c>
      <c r="J33" s="8">
        <f>J26</f>
        <v>23.7</v>
      </c>
      <c r="K33" s="8">
        <f>K26</f>
        <v>26.799999999999997</v>
      </c>
      <c r="L33" s="8">
        <f>L26</f>
        <v>33</v>
      </c>
      <c r="M33" s="8">
        <f>M26</f>
        <v>33</v>
      </c>
    </row>
    <row r="34" spans="1:15" x14ac:dyDescent="0.25">
      <c r="A34" s="8" t="s">
        <v>3</v>
      </c>
      <c r="B34" s="8">
        <f t="shared" si="10"/>
        <v>25</v>
      </c>
      <c r="C34" s="8">
        <f>C27</f>
        <v>24.7</v>
      </c>
      <c r="D34" s="8">
        <f>Sheet1!$D$22</f>
        <v>28</v>
      </c>
      <c r="E34" s="8">
        <f>Sheet1!$D$22</f>
        <v>28</v>
      </c>
      <c r="F34" s="8">
        <f>Sheet1!$D$22</f>
        <v>28</v>
      </c>
      <c r="G34" s="8">
        <f>Sheet1!$D$22</f>
        <v>28</v>
      </c>
      <c r="H34" s="8">
        <f>Sheet1!$D$22</f>
        <v>28</v>
      </c>
      <c r="I34" s="8">
        <f>Sheet1!$D$22</f>
        <v>28</v>
      </c>
      <c r="J34" s="8">
        <f>Sheet1!$D$22</f>
        <v>28</v>
      </c>
      <c r="K34" s="8">
        <f>Sheet1!$D$22</f>
        <v>28</v>
      </c>
      <c r="L34" s="8">
        <f>Sheet1!$D$22</f>
        <v>28</v>
      </c>
      <c r="M34" s="8">
        <f>M27</f>
        <v>23.4</v>
      </c>
    </row>
    <row r="35" spans="1:15" x14ac:dyDescent="0.25">
      <c r="A35" s="8" t="s">
        <v>45</v>
      </c>
      <c r="B35" s="8">
        <f t="shared" si="10"/>
        <v>28.799999999999997</v>
      </c>
      <c r="C35" s="8">
        <f>C28</f>
        <v>28.299999999999997</v>
      </c>
      <c r="D35" s="8">
        <f>D28</f>
        <v>26.099999999999998</v>
      </c>
      <c r="E35" s="8">
        <f>E28</f>
        <v>22.799999999999997</v>
      </c>
      <c r="F35" s="8">
        <f>Sheet1!$D$22</f>
        <v>28</v>
      </c>
      <c r="G35" s="8">
        <f>Sheet1!$D$22</f>
        <v>28</v>
      </c>
      <c r="H35" s="8">
        <f>Sheet1!$D$22</f>
        <v>28</v>
      </c>
      <c r="I35" s="8">
        <f>Sheet1!$D$22</f>
        <v>28</v>
      </c>
      <c r="J35" s="8">
        <f>Sheet1!$D$22</f>
        <v>28</v>
      </c>
      <c r="K35" s="8">
        <f>Sheet1!$D$22</f>
        <v>28</v>
      </c>
      <c r="L35" s="8">
        <f>L28</f>
        <v>24.9</v>
      </c>
      <c r="M35" s="8">
        <f>M28</f>
        <v>27.599999999999998</v>
      </c>
      <c r="O35" t="s">
        <v>50</v>
      </c>
    </row>
    <row r="36" spans="1:15" x14ac:dyDescent="0.25">
      <c r="A36" s="8" t="s">
        <v>46</v>
      </c>
      <c r="B36" s="8">
        <f t="shared" si="10"/>
        <v>27.799999999999997</v>
      </c>
      <c r="C36" s="8">
        <f>C29</f>
        <v>27.9</v>
      </c>
      <c r="D36" s="8">
        <f>D29</f>
        <v>26.299999999999997</v>
      </c>
      <c r="E36" s="8">
        <f>E29</f>
        <v>23.299999999999997</v>
      </c>
      <c r="F36" s="8">
        <f>Sheet1!$D$22</f>
        <v>28</v>
      </c>
      <c r="G36" s="8">
        <f>Sheet1!$D$22</f>
        <v>28</v>
      </c>
      <c r="H36" s="8">
        <f>Sheet1!$D$22</f>
        <v>28</v>
      </c>
      <c r="I36" s="8">
        <f>Sheet1!$D$22</f>
        <v>28</v>
      </c>
      <c r="J36" s="8">
        <f>Sheet1!$D$22</f>
        <v>28</v>
      </c>
      <c r="K36" s="8">
        <f>K29</f>
        <v>23.5</v>
      </c>
      <c r="L36" s="8">
        <f>L29</f>
        <v>25.599999999999998</v>
      </c>
      <c r="M36" s="8">
        <f>M29</f>
        <v>27</v>
      </c>
    </row>
    <row r="37" spans="1:15" x14ac:dyDescent="0.25">
      <c r="A37" s="10" t="s">
        <v>47</v>
      </c>
      <c r="B37" s="8">
        <f t="shared" si="10"/>
        <v>33</v>
      </c>
      <c r="C37" s="8">
        <f t="shared" si="10"/>
        <v>33</v>
      </c>
      <c r="D37" s="8">
        <f t="shared" si="10"/>
        <v>33</v>
      </c>
      <c r="E37" s="8">
        <f t="shared" si="10"/>
        <v>33</v>
      </c>
      <c r="F37" s="8">
        <f t="shared" si="10"/>
        <v>25.5</v>
      </c>
      <c r="G37" s="8">
        <f>Sheet1!$D$22</f>
        <v>28</v>
      </c>
      <c r="H37" s="8">
        <f>Sheet1!$D$22</f>
        <v>28</v>
      </c>
      <c r="I37" s="8">
        <f t="shared" si="10"/>
        <v>23.299999999999997</v>
      </c>
      <c r="J37" s="8">
        <f t="shared" si="10"/>
        <v>26.7</v>
      </c>
      <c r="K37" s="8">
        <f t="shared" si="10"/>
        <v>33</v>
      </c>
      <c r="L37" s="8">
        <f t="shared" si="10"/>
        <v>33</v>
      </c>
      <c r="M37" s="8">
        <f t="shared" si="10"/>
        <v>33</v>
      </c>
    </row>
    <row r="38" spans="1:15" x14ac:dyDescent="0.25">
      <c r="A38" s="11" t="s">
        <v>48</v>
      </c>
      <c r="B38" s="11">
        <f>IF(Sheet1!$D$24="Extended Season",VLOOKUP(Sheet1!$D$8,Sheet2!$A$25:B$30,2,FALSE),IF(Sheet1!$D$24="Year Round Season",VLOOKUP(Sheet1!$D$8,Sheet2!$A$32:B$37,2,FALSE),VLOOKUP(Sheet1!$D$8,$A$15:B$20,2,FALSE)))</f>
        <v>25</v>
      </c>
      <c r="C38" s="11">
        <f>IF(Sheet1!$D$24="Extended Season",VLOOKUP(Sheet1!$D$8,Sheet2!$A$25:C$30,3,FALSE),IF(Sheet1!$D$24="Year Round Season",VLOOKUP(Sheet1!$D$8,Sheet2!$A$32:C$37,3,FALSE),VLOOKUP(Sheet1!$D$8,$A$15:C$20,3,FALSE)))</f>
        <v>24.7</v>
      </c>
      <c r="D38" s="34">
        <f>IF(Sheet1!$D$24="Extended Season",VLOOKUP(Sheet1!$D$8,Sheet2!$A$25:D$30,4,FALSE),IF(Sheet1!$D$24="Year Round Season",VLOOKUP(Sheet1!$D$8,Sheet2!$A$32:D$37,4,FALSE),VLOOKUP(Sheet1!$D$8,$A$15:D$20,4,FALSE)))</f>
        <v>22.5</v>
      </c>
      <c r="E38" s="34">
        <f>IF(Sheet1!$D$24="Extended Season",VLOOKUP(Sheet1!$D$8,Sheet2!$A$25:E$30,5,FALSE),IF(Sheet1!$D$24="Year Round Season",VLOOKUP(Sheet1!$D$8,Sheet2!$A$32:E$37,5,FALSE),VLOOKUP(Sheet1!$D$8,$A$15:E$20,5,FALSE)))</f>
        <v>19.5</v>
      </c>
      <c r="F38" s="11">
        <f>IF(Sheet1!$D$24="Extended Season",VLOOKUP(Sheet1!$D$8,Sheet2!$A$25:F$30,6,FALSE),IF(Sheet1!$D$24="Year Round Season",VLOOKUP(Sheet1!$D$8,Sheet2!$A$32:F$37,6,FALSE),VLOOKUP(Sheet1!$D$8,$A$15:F$20,6,FALSE)))</f>
        <v>16.099999999999998</v>
      </c>
      <c r="G38" s="11">
        <f>IF(Sheet1!$D$24="Extended Season",VLOOKUP(Sheet1!$D$8,Sheet2!$A$25:G$30,7,FALSE),IF(Sheet1!$D$24="Year Round Season",VLOOKUP(Sheet1!$D$8,Sheet2!$A$32:G$37,7,FALSE),VLOOKUP(Sheet1!$D$8,$A$15:G$20,7,FALSE)))</f>
        <v>13.899999999999999</v>
      </c>
      <c r="H38" s="11">
        <f>IF(Sheet1!$D$24="Extended Season",VLOOKUP(Sheet1!$D$8,Sheet2!$A$25:H$30,8,FALSE),IF(Sheet1!$D$24="Year Round Season",VLOOKUP(Sheet1!$D$8,Sheet2!$A$32:H$37,8,FALSE),VLOOKUP(Sheet1!$D$8,$A$15:H$20,8,FALSE)))</f>
        <v>13.099999999999998</v>
      </c>
      <c r="I38" s="34">
        <f>IF(Sheet1!$D$24="Extended Season",VLOOKUP(Sheet1!$D$8,Sheet2!$A$25:I$30,9,FALSE),IF(Sheet1!$D$24="Year Round Season",VLOOKUP(Sheet1!$D$8,Sheet2!$A$32:I$37,9,FALSE),VLOOKUP(Sheet1!$D$8,$A$15:I$20,9,FALSE)))</f>
        <v>14.399999999999999</v>
      </c>
      <c r="J38" s="11">
        <f>IF(Sheet1!$D$24="Extended Season",VLOOKUP(Sheet1!$D$8,Sheet2!$A$25:J$30,10,FALSE),IF(Sheet1!$D$24="Year Round Season",VLOOKUP(Sheet1!$D$8,Sheet2!$A$32:J$37,10,FALSE),VLOOKUP(Sheet1!$D$8,$A$15:J$20,10,FALSE)))</f>
        <v>16.799999999999997</v>
      </c>
      <c r="K38" s="11">
        <f>IF(Sheet1!$D$24="Extended Season",VLOOKUP(Sheet1!$D$8,Sheet2!$A$25:K$30,11,FALSE),IF(Sheet1!$D$24="Year Round Season",VLOOKUP(Sheet1!$D$8,Sheet2!$A$32:K$37,11,FALSE),VLOOKUP(Sheet1!$D$8,$A$15:K$20,11,FALSE)))</f>
        <v>19.5</v>
      </c>
      <c r="L38" s="11">
        <f>IF(Sheet1!$D$24="Extended Season",VLOOKUP(Sheet1!$D$8,Sheet2!$A$25:L$30,12,FALSE),IF(Sheet1!$D$24="Year Round Season",VLOOKUP(Sheet1!$D$8,Sheet2!$A$32:L$37,12,FALSE),VLOOKUP(Sheet1!$D$8,$A$15:L$20,12,FALSE)))</f>
        <v>21.4</v>
      </c>
      <c r="M38" s="11">
        <f>IF(Sheet1!$D$24="Extended Season",VLOOKUP(Sheet1!$D$8,Sheet2!$A$25:M$30,13,FALSE),IF(Sheet1!$D$24="Year Round Season",VLOOKUP(Sheet1!$D$8,Sheet2!$A$32:M$37,13,FALSE),VLOOKUP(Sheet1!$D$8,$A$15:M$20,13,FALSE)))</f>
        <v>23.4</v>
      </c>
    </row>
    <row r="44" spans="1:15" x14ac:dyDescent="0.25">
      <c r="C44" s="3" t="s">
        <v>51</v>
      </c>
    </row>
    <row r="45" spans="1:15" x14ac:dyDescent="0.25">
      <c r="C45" t="s">
        <v>52</v>
      </c>
      <c r="D45" t="s">
        <v>53</v>
      </c>
    </row>
    <row r="46" spans="1:15" x14ac:dyDescent="0.25">
      <c r="B46" t="s">
        <v>55</v>
      </c>
      <c r="C46" s="21">
        <f>Sheet1!P84*31</f>
        <v>209.39831639999994</v>
      </c>
      <c r="D46" s="21">
        <f>Sheet1!Q84*31</f>
        <v>125.63898983999998</v>
      </c>
    </row>
    <row r="47" spans="1:15" x14ac:dyDescent="0.25">
      <c r="B47" t="s">
        <v>56</v>
      </c>
      <c r="C47" s="21">
        <f>Sheet1!P85*28</f>
        <v>196.31626559999995</v>
      </c>
      <c r="D47" s="21">
        <f>Sheet1!Q85*28</f>
        <v>117.78975935999998</v>
      </c>
    </row>
    <row r="48" spans="1:15" x14ac:dyDescent="0.25">
      <c r="B48" t="s">
        <v>57</v>
      </c>
      <c r="C48" s="21">
        <f>Sheet1!P86*31</f>
        <v>275.66360639999988</v>
      </c>
      <c r="D48" s="21">
        <f>Sheet1!Q86*31</f>
        <v>165.39816383999994</v>
      </c>
    </row>
    <row r="49" spans="2:4" x14ac:dyDescent="0.25">
      <c r="B49" t="s">
        <v>58</v>
      </c>
      <c r="C49" s="21">
        <f>Sheet1!P87*30</f>
        <v>343.72447199999993</v>
      </c>
      <c r="D49" s="21">
        <f>Sheet1!Q87*30</f>
        <v>206.23468319999995</v>
      </c>
    </row>
    <row r="50" spans="2:4" x14ac:dyDescent="0.25">
      <c r="B50" t="s">
        <v>59</v>
      </c>
      <c r="C50" s="21">
        <f>Sheet1!P88*31</f>
        <v>445.3027487999999</v>
      </c>
      <c r="D50" s="21">
        <f>Sheet1!Q88*31</f>
        <v>267.18164927999993</v>
      </c>
    </row>
    <row r="51" spans="2:4" x14ac:dyDescent="0.25">
      <c r="B51" t="s">
        <v>60</v>
      </c>
      <c r="C51" s="21">
        <f>Sheet1!P89*30</f>
        <v>487.37051999999994</v>
      </c>
      <c r="D51" s="21">
        <f>Sheet1!Q89*30</f>
        <v>292.42231199999992</v>
      </c>
    </row>
    <row r="52" spans="2:4" x14ac:dyDescent="0.25">
      <c r="B52" t="s">
        <v>61</v>
      </c>
      <c r="C52" s="21">
        <f>Sheet1!P90*31</f>
        <v>524.82109679999996</v>
      </c>
      <c r="D52" s="21">
        <f>Sheet1!Q90*31</f>
        <v>314.89265807999993</v>
      </c>
    </row>
    <row r="53" spans="2:4" x14ac:dyDescent="0.25">
      <c r="B53" t="s">
        <v>62</v>
      </c>
      <c r="C53" s="21">
        <f>Sheet1!P91*31</f>
        <v>490.36314599999992</v>
      </c>
      <c r="D53" s="21">
        <f>Sheet1!Q91*31</f>
        <v>294.21788759999998</v>
      </c>
    </row>
    <row r="54" spans="2:4" x14ac:dyDescent="0.25">
      <c r="B54" t="s">
        <v>63</v>
      </c>
      <c r="C54" s="21">
        <f>Sheet1!P92*30</f>
        <v>412.9823879999999</v>
      </c>
      <c r="D54" s="21">
        <f>Sheet1!Q92*30</f>
        <v>247.78943279999996</v>
      </c>
    </row>
    <row r="55" spans="2:4" x14ac:dyDescent="0.25">
      <c r="B55" t="s">
        <v>64</v>
      </c>
      <c r="C55" s="21">
        <f>Sheet1!P93*31</f>
        <v>355.18195439999994</v>
      </c>
      <c r="D55" s="21">
        <f>Sheet1!Q93*31</f>
        <v>213.10917263999997</v>
      </c>
    </row>
    <row r="56" spans="2:4" x14ac:dyDescent="0.25">
      <c r="B56" t="s">
        <v>65</v>
      </c>
      <c r="C56" s="21">
        <f>Sheet1!P94*30</f>
        <v>294.98741999999999</v>
      </c>
      <c r="D56" s="21">
        <f>Sheet1!Q94*30</f>
        <v>176.99245199999999</v>
      </c>
    </row>
    <row r="57" spans="2:4" x14ac:dyDescent="0.25">
      <c r="B57" t="s">
        <v>66</v>
      </c>
      <c r="C57" s="21">
        <f>Sheet1!P95*31</f>
        <v>251.80810199999996</v>
      </c>
      <c r="D57" s="21">
        <f>Sheet1!Q95*31</f>
        <v>151.08486119999998</v>
      </c>
    </row>
  </sheetData>
  <dataValidations count="1">
    <dataValidation type="list" allowBlank="1" showInputMessage="1" showErrorMessage="1" sqref="A6 A25 A32" xr:uid="{DD9F7A10-D9A1-4CBF-96A3-EE43D30C0C20}">
      <formula1>"Adelaide, Brisbane, Melbourne, Perth, Sydney, FNQ Coast"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Wallace</dc:creator>
  <cp:lastModifiedBy>Loretta Serong | Explore Industries</cp:lastModifiedBy>
  <cp:lastPrinted>2024-09-26T23:29:27Z</cp:lastPrinted>
  <dcterms:created xsi:type="dcterms:W3CDTF">2018-10-18T21:51:54Z</dcterms:created>
  <dcterms:modified xsi:type="dcterms:W3CDTF">2024-10-08T05:03:17Z</dcterms:modified>
</cp:coreProperties>
</file>